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Charakterbogen" sheetId="1" r:id="rId1"/>
    <sheet name="Magnakai Zusatz" sheetId="2" r:id="rId2"/>
    <sheet name="Großmeister Zusatz" sheetId="3" r:id="rId3"/>
    <sheet name="Kampfresultat Tabelle" sheetId="4" state="hidden" r:id="rId4"/>
  </sheets>
  <definedNames>
    <definedName name="_xlfn.COUNTIFS" hidden="1">#NAME?</definedName>
    <definedName name="Psi" localSheetId="0">'Charakterbogen'!$AH$41:$AH$43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Standard + Großmeister</t>
        </r>
      </text>
    </comment>
    <comment ref="A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1x=Kai Waffenkunde
2x=Magnakai 
3x=Großmeister
</t>
        </r>
      </text>
    </comment>
  </commentList>
</comments>
</file>

<file path=xl/sharedStrings.xml><?xml version="1.0" encoding="utf-8"?>
<sst xmlns="http://schemas.openxmlformats.org/spreadsheetml/2006/main" count="373" uniqueCount="202">
  <si>
    <t>Magnakai-Disziplin</t>
  </si>
  <si>
    <t>Rucksack</t>
  </si>
  <si>
    <t>Kampfstärke</t>
  </si>
  <si>
    <t>Ausdauerpunkte</t>
  </si>
  <si>
    <t>Waffen</t>
  </si>
  <si>
    <t>Waffenmeisterschaft</t>
  </si>
  <si>
    <t>Kreis der Sonne</t>
  </si>
  <si>
    <t>Kreis des Lichts</t>
  </si>
  <si>
    <t>Kreis des Geistes</t>
  </si>
  <si>
    <t>Spezielle Gegenstände</t>
  </si>
  <si>
    <t>Kampfstab</t>
  </si>
  <si>
    <t>Bogen</t>
  </si>
  <si>
    <t>Schwert</t>
  </si>
  <si>
    <t>Speer</t>
  </si>
  <si>
    <t>Breitschwert</t>
  </si>
  <si>
    <t>Köcher</t>
  </si>
  <si>
    <t>Pfeile</t>
  </si>
  <si>
    <t>JA</t>
  </si>
  <si>
    <t>NEIN</t>
  </si>
  <si>
    <t>Gegenstände in der Abtei</t>
  </si>
  <si>
    <t>Kampfquotient</t>
  </si>
  <si>
    <t>Kreis des Feuers</t>
  </si>
  <si>
    <t>+11</t>
  </si>
  <si>
    <t>T</t>
  </si>
  <si>
    <t>F</t>
  </si>
  <si>
    <t>EW</t>
  </si>
  <si>
    <t>Mahlzeiten:</t>
  </si>
  <si>
    <t>Gesamt</t>
  </si>
  <si>
    <t>Standard</t>
  </si>
  <si>
    <t>Bonus</t>
  </si>
  <si>
    <t>Gedankenstrahl</t>
  </si>
  <si>
    <t>Kai Disziplin</t>
  </si>
  <si>
    <t>Magnakai-Ränge</t>
  </si>
  <si>
    <t>Initiand</t>
  </si>
  <si>
    <t>Altmeister</t>
  </si>
  <si>
    <t>Kai-Senior</t>
  </si>
  <si>
    <t>Primus</t>
  </si>
  <si>
    <t>Tutor</t>
  </si>
  <si>
    <t>Prinzipal</t>
  </si>
  <si>
    <t>Mentor</t>
  </si>
  <si>
    <t>Scion-Kai</t>
  </si>
  <si>
    <t>Novize</t>
  </si>
  <si>
    <t>Magnakai Rang</t>
  </si>
  <si>
    <t>Kai-Meister</t>
  </si>
  <si>
    <t>Kai-Hierarch</t>
  </si>
  <si>
    <t>Tierkontrolle</t>
  </si>
  <si>
    <t>Jagdmeisterschaft</t>
  </si>
  <si>
    <t>Pfadmeisterschaft</t>
  </si>
  <si>
    <t>Unsichtbarkeit</t>
  </si>
  <si>
    <t>Psi-Schirm</t>
  </si>
  <si>
    <t>Nexus</t>
  </si>
  <si>
    <t>Zweites Gesicht</t>
  </si>
  <si>
    <t>Heilkunst</t>
  </si>
  <si>
    <t>Weisheitskreise der Magnakai</t>
  </si>
  <si>
    <t>Magnakai</t>
  </si>
  <si>
    <t>KS</t>
  </si>
  <si>
    <t>AP</t>
  </si>
  <si>
    <t>Einsamer Wolf</t>
  </si>
  <si>
    <t>Feind</t>
  </si>
  <si>
    <t>Zufallszahl</t>
  </si>
  <si>
    <t>Schaden</t>
  </si>
  <si>
    <t>Quotient</t>
  </si>
  <si>
    <t>Monster Logbuch</t>
  </si>
  <si>
    <t>Name</t>
  </si>
  <si>
    <t>Einsamer Wolf - Kampfprotokoll</t>
  </si>
  <si>
    <t>Einsamer Wolf - Aktionsblatt</t>
  </si>
  <si>
    <t>Modifiziert</t>
  </si>
  <si>
    <t>Kai Fertigkeiten</t>
  </si>
  <si>
    <t>Tarnung</t>
  </si>
  <si>
    <t>Jagd</t>
  </si>
  <si>
    <t>Sechster Sinn</t>
  </si>
  <si>
    <t>Spuren lesen</t>
  </si>
  <si>
    <t>Heilung +1</t>
  </si>
  <si>
    <t>Waffenkunde</t>
  </si>
  <si>
    <t>Gedankensperre</t>
  </si>
  <si>
    <t>Tierverständnis</t>
  </si>
  <si>
    <t>Geist über Materie</t>
  </si>
  <si>
    <t>Intuite</t>
  </si>
  <si>
    <t>Doan</t>
  </si>
  <si>
    <t>Acolyte</t>
  </si>
  <si>
    <t>Aspirant</t>
  </si>
  <si>
    <t>Hüter</t>
  </si>
  <si>
    <t>Wanderer</t>
  </si>
  <si>
    <t>Wissender</t>
  </si>
  <si>
    <t>Meister</t>
  </si>
  <si>
    <t>Magnakai Weisheit</t>
  </si>
  <si>
    <t>x</t>
  </si>
  <si>
    <t>Waffenkunde +2 KS</t>
  </si>
  <si>
    <t>Gedankenstrahl +2 KS</t>
  </si>
  <si>
    <t>Sommerswerd</t>
  </si>
  <si>
    <t>Kurzschwert</t>
  </si>
  <si>
    <t>Geldbörse</t>
  </si>
  <si>
    <t>Wichtige Informationen</t>
  </si>
  <si>
    <t>Gestorben:</t>
  </si>
  <si>
    <t>Geschmacks- &amp; Geruchssinn</t>
  </si>
  <si>
    <t>Giftwirkung verzögern</t>
  </si>
  <si>
    <t>Hohe Agilität, Klettern ohne Werkzeug</t>
  </si>
  <si>
    <t>Psi-Stoß</t>
  </si>
  <si>
    <t>Objekte vibrieren lassen</t>
  </si>
  <si>
    <t>Verbesserter Widerstand gegen Gase und Dämpfe</t>
  </si>
  <si>
    <t>→</t>
  </si>
  <si>
    <t>Kampfstärke -2 statt -4 ohne Waffe</t>
  </si>
  <si>
    <t>Aufmerksamkeit von Feinden umlenken</t>
  </si>
  <si>
    <t>Hinterhalt bis 500m im Umkreis entdecken</t>
  </si>
  <si>
    <t>Schutz vs. Magische Zauber &amp; feindselige Telepathie</t>
  </si>
  <si>
    <t>Entdeckt Objekte &amp; Kreaturen mit magischen Fertigkeiten</t>
  </si>
  <si>
    <t>oder Eigenschaften</t>
  </si>
  <si>
    <t>Nahes Waldtier rufen. Bote, Führer oder Kampfgefährte</t>
  </si>
  <si>
    <t>Können alle Geräusche ihrer Bewegung verdecken</t>
  </si>
  <si>
    <t>Teleskopischer Blick</t>
  </si>
  <si>
    <t>Säen von Zweifel in Gedanken von Feinden (Kampf)</t>
  </si>
  <si>
    <t>Feuer löschen durch Gedankenkraft</t>
  </si>
  <si>
    <t>Präzise Distanzwaffen (+2)</t>
  </si>
  <si>
    <t>Neutralisieren von natürlichen Giften (Persönlich)</t>
  </si>
  <si>
    <t>Spurloser Schritt auf jedem Terrain</t>
  </si>
  <si>
    <t>Schutz vor bösen Geistern / körperlosen Wesen</t>
  </si>
  <si>
    <t>die mit psychischer Energie angreifen</t>
  </si>
  <si>
    <t>Kann psychische Rückstände aufspüren an Orten mit</t>
  </si>
  <si>
    <t>dramatischen Ereignissen</t>
  </si>
  <si>
    <t>Änderung der Erscheinung</t>
  </si>
  <si>
    <t>Mit jeder intelligenten Kreatur reden</t>
  </si>
  <si>
    <t xml:space="preserve">Unsichtbarkeit bei psychischen / magischen </t>
  </si>
  <si>
    <t>Entdeckungszaubern</t>
  </si>
  <si>
    <t>verringern oder Mentale Angriffe verstärken</t>
  </si>
  <si>
    <t>Energie absorbieren, umlenken, ablenken und Schaden</t>
  </si>
  <si>
    <t>Geistwandel</t>
  </si>
  <si>
    <t xml:space="preserve">Tiere zurücktreiben durch Blockade von </t>
  </si>
  <si>
    <t>+4KS auf gemeisterte Waffen</t>
  </si>
  <si>
    <t>-1 ohne Waffen</t>
  </si>
  <si>
    <t>Befiehlt Tieren nach seinem Willen zu handeln</t>
  </si>
  <si>
    <t>Alle 100 Tage, bei 6AP soforte Heilung auf 20 AP</t>
  </si>
  <si>
    <t>Außerordentliches verbessertes Gehör &amp; Geruchssinn; Nachtblick</t>
  </si>
  <si>
    <t>+6KS &amp; -1AP; Kein Psi Stoß  unter 5 AP</t>
  </si>
  <si>
    <t>+3 KS mit Gedankenstrahl</t>
  </si>
  <si>
    <t>Wiederstand extreme Hitze &amp; Kälte</t>
  </si>
  <si>
    <t>begrenzte Immunität gegen Flammen, Giftgas &amp; ätzende Flüssigkeiten</t>
  </si>
  <si>
    <t>Rüstzeug</t>
  </si>
  <si>
    <t>Kai-Rang</t>
  </si>
  <si>
    <t>Großmeister Rang</t>
  </si>
  <si>
    <t>Kai-Großsenior</t>
  </si>
  <si>
    <t>Kai-Großhierarch</t>
  </si>
  <si>
    <t>Kai-Großwächter</t>
  </si>
  <si>
    <t>Kai-Großverteidiger</t>
  </si>
  <si>
    <t>Kai-Großhüter</t>
  </si>
  <si>
    <t>Sonnenritter</t>
  </si>
  <si>
    <t>Sonnenlord</t>
  </si>
  <si>
    <t>Sonnenpaladin</t>
  </si>
  <si>
    <t>Großpaladin</t>
  </si>
  <si>
    <t>Großherrscher</t>
  </si>
  <si>
    <t>Sonnenprinz</t>
  </si>
  <si>
    <t>Kai-Supremmeister</t>
  </si>
  <si>
    <t>Kai-Großmeister</t>
  </si>
  <si>
    <t>Kai-Stoß</t>
  </si>
  <si>
    <t>Großmeister-Disziplin</t>
  </si>
  <si>
    <t>Großmeister</t>
  </si>
  <si>
    <t>Groß-Waffenmeisterschaft +5KS</t>
  </si>
  <si>
    <t>Waffenmeisterschaft +3KS</t>
  </si>
  <si>
    <t>Tierbeherrschung</t>
  </si>
  <si>
    <t>Erlösung</t>
  </si>
  <si>
    <t>Verschmelzung</t>
  </si>
  <si>
    <t>Groß-Jagdmeisterschaft</t>
  </si>
  <si>
    <t>Groß-Pfadmeiserschaft</t>
  </si>
  <si>
    <t>Kai-Stoß +8KS / -1AP</t>
  </si>
  <si>
    <t>Psi-Stoß +4KS / -2AP</t>
  </si>
  <si>
    <t>Psi-Stoß +6KS / -1AP</t>
  </si>
  <si>
    <t>Psi-Stoß +4KS / -0AP</t>
  </si>
  <si>
    <t>Kai-Schirm</t>
  </si>
  <si>
    <t>Drittes Auge</t>
  </si>
  <si>
    <t>Altmagie</t>
  </si>
  <si>
    <t>Groß-Nexus</t>
  </si>
  <si>
    <t>Kai-Alchemie</t>
  </si>
  <si>
    <t>schwacher Psi-Stoß</t>
  </si>
  <si>
    <t>Einsamer Wolf - Gegenstände &amp; Notizen</t>
  </si>
  <si>
    <t>Weiter bei:</t>
  </si>
  <si>
    <t>Dolch</t>
  </si>
  <si>
    <t>Streitkolben</t>
  </si>
  <si>
    <t>Kriegshammer</t>
  </si>
  <si>
    <t>Axt</t>
  </si>
  <si>
    <t>Waffenlos</t>
  </si>
  <si>
    <t>Großmeister Bonus</t>
  </si>
  <si>
    <t>Adganasucht</t>
  </si>
  <si>
    <t>Runde:</t>
  </si>
  <si>
    <t>Laumspur +4AP (5Dosen)</t>
  </si>
  <si>
    <t>Sabito - Wasseratmung (2Dosen)</t>
  </si>
  <si>
    <t>Einsamer Wolf -Verbesserte Kai Disziplinen</t>
  </si>
  <si>
    <t>Großmeister Disziplinen</t>
  </si>
  <si>
    <t>Rufen von begrenzter Anzahl treuer Wildtiere. Nur in freier Natur nutzbar</t>
  </si>
  <si>
    <t>Erschaffung von Nebel in 15Meter Umkreis.</t>
  </si>
  <si>
    <t>Erhöhte Beweglichkeit in jedem Gelände beim Reisen. Zu Pferd oder zu Fuß.</t>
  </si>
  <si>
    <t>3 Feinde gleichzeitig angreifen</t>
  </si>
  <si>
    <t>Gedankenschleier gegen mentale Abtastung zu schützen und zu verbergen</t>
  </si>
  <si>
    <t>Zauber: Zersplittern --&gt; Zerstört zerbrechliche Gegenständte</t>
  </si>
  <si>
    <t>Zauber: Flammenschaft --&gt; magische Flamme an Pfeilen oder pfeilartigen Waffen erzeugen</t>
  </si>
  <si>
    <t>Groß-Waffenmeisterschaft</t>
  </si>
  <si>
    <t>Zweihändige Waffen ohne Einschränkung einhändig tragen</t>
  </si>
  <si>
    <t>Behandeln von schweren Kampfwunden / Offenen Wunden</t>
  </si>
  <si>
    <t>Groß-Pfadmeisterschaft</t>
  </si>
  <si>
    <t>Zurückstoßen von normalen Insekten innerhalb von 3m Radius</t>
  </si>
  <si>
    <t>Zustand von Scheintod hervorrufen</t>
  </si>
  <si>
    <t>Zauber: Geschoss aufhalten --&gt; 1-2 Sekunden Geschosse erstarren lassen</t>
  </si>
  <si>
    <t>Zauber: Stärke --&gt; Stärke oder KS/A erhöhen für kurze Zeit.</t>
  </si>
  <si>
    <t>Großmeisterheilung: 20AP bei &lt;9 AP alle 20T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</si>
</sst>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&quot;\ General"/>
    <numFmt numFmtId="165" formatCode="&quot; EW&quot;\ General"/>
    <numFmt numFmtId="166" formatCode="&quot;+&quot;\ General"/>
    <numFmt numFmtId="167" formatCode="&quot;KS + &quot;0"/>
    <numFmt numFmtId="168" formatCode="&quot;AP + &quot;0"/>
    <numFmt numFmtId="169" formatCode="00"/>
    <numFmt numFmtId="170" formatCode="&quot;+&quot;General"/>
    <numFmt numFmtId="171" formatCode="General\ &quot;Silberlunen&quot;"/>
    <numFmt numFmtId="172" formatCode="General\ &quot;Kika&quot;"/>
    <numFmt numFmtId="173" formatCode="General\ &quot;Goldkronen&quot;"/>
    <numFmt numFmtId="174" formatCode="General\ &quot;Goldkronen Gesamt&quot;"/>
    <numFmt numFmtId="175" formatCode="General\ &quot;Gesamt&quot;"/>
    <numFmt numFmtId="176" formatCode="General\ &quot;GK&quot;"/>
    <numFmt numFmtId="177" formatCode="General\ &quot;GK Gesamt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36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11"/>
      <color indexed="9"/>
      <name val="Constanti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8" xfId="0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1" xfId="0" applyFill="1" applyBorder="1" applyAlignment="1">
      <alignment/>
    </xf>
    <xf numFmtId="0" fontId="0" fillId="20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168" fontId="0" fillId="0" borderId="25" xfId="0" applyNumberFormat="1" applyBorder="1" applyAlignment="1">
      <alignment/>
    </xf>
    <xf numFmtId="168" fontId="0" fillId="0" borderId="2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169" fontId="0" fillId="24" borderId="0" xfId="0" applyNumberForma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3" borderId="17" xfId="0" applyNumberFormat="1" applyFill="1" applyBorder="1" applyAlignment="1">
      <alignment horizontal="center"/>
    </xf>
    <xf numFmtId="0" fontId="0" fillId="23" borderId="28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66" fontId="0" fillId="0" borderId="26" xfId="0" applyNumberFormat="1" applyBorder="1" applyAlignment="1">
      <alignment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2" fillId="0" borderId="35" xfId="0" applyFont="1" applyBorder="1" applyAlignment="1">
      <alignment/>
    </xf>
    <xf numFmtId="169" fontId="2" fillId="0" borderId="36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170" fontId="0" fillId="0" borderId="26" xfId="0" applyNumberFormat="1" applyFill="1" applyBorder="1" applyAlignment="1">
      <alignment/>
    </xf>
    <xf numFmtId="0" fontId="0" fillId="7" borderId="14" xfId="0" applyFill="1" applyBorder="1" applyAlignment="1" applyProtection="1">
      <alignment horizontal="center"/>
      <protection locked="0"/>
    </xf>
    <xf numFmtId="0" fontId="2" fillId="7" borderId="26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170" fontId="0" fillId="0" borderId="0" xfId="0" applyNumberFormat="1" applyFill="1" applyBorder="1" applyAlignment="1" applyProtection="1">
      <alignment/>
      <protection/>
    </xf>
    <xf numFmtId="49" fontId="0" fillId="25" borderId="33" xfId="0" applyNumberFormat="1" applyFill="1" applyBorder="1" applyAlignment="1" applyProtection="1">
      <alignment/>
      <protection locked="0"/>
    </xf>
    <xf numFmtId="49" fontId="0" fillId="25" borderId="38" xfId="0" applyNumberFormat="1" applyFill="1" applyBorder="1" applyAlignment="1" applyProtection="1">
      <alignment/>
      <protection locked="0"/>
    </xf>
    <xf numFmtId="1" fontId="0" fillId="7" borderId="39" xfId="0" applyNumberFormat="1" applyFill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/>
    </xf>
    <xf numFmtId="0" fontId="0" fillId="4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3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 vertical="center"/>
    </xf>
    <xf numFmtId="170" fontId="0" fillId="0" borderId="0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5" xfId="0" applyBorder="1" applyAlignment="1">
      <alignment vertical="center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0" fillId="25" borderId="0" xfId="0" applyFill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6" xfId="0" applyBorder="1" applyAlignment="1">
      <alignment/>
    </xf>
    <xf numFmtId="0" fontId="2" fillId="5" borderId="22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5" borderId="23" xfId="0" applyFont="1" applyFill="1" applyBorder="1" applyAlignment="1">
      <alignment/>
    </xf>
    <xf numFmtId="0" fontId="0" fillId="5" borderId="26" xfId="0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46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0" borderId="0" xfId="0" applyFill="1" applyBorder="1" applyAlignment="1">
      <alignment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Font="1" applyBorder="1" applyAlignment="1">
      <alignment horizontal="right"/>
    </xf>
    <xf numFmtId="0" fontId="2" fillId="0" borderId="27" xfId="0" applyFont="1" applyBorder="1" applyAlignment="1">
      <alignment vertical="center"/>
    </xf>
    <xf numFmtId="176" fontId="15" fillId="7" borderId="48" xfId="0" applyNumberFormat="1" applyFont="1" applyFill="1" applyBorder="1" applyAlignment="1" applyProtection="1">
      <alignment horizontal="center" vertical="center"/>
      <protection locked="0"/>
    </xf>
    <xf numFmtId="176" fontId="15" fillId="7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right" vertical="center"/>
    </xf>
    <xf numFmtId="0" fontId="0" fillId="0" borderId="49" xfId="0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2" fillId="26" borderId="5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0" fillId="2" borderId="45" xfId="0" applyNumberFormat="1" applyFont="1" applyFill="1" applyBorder="1" applyAlignment="1" applyProtection="1">
      <alignment horizontal="center"/>
      <protection locked="0"/>
    </xf>
    <xf numFmtId="49" fontId="0" fillId="2" borderId="42" xfId="0" applyNumberFormat="1" applyFont="1" applyFill="1" applyBorder="1" applyAlignment="1" applyProtection="1">
      <alignment horizontal="center"/>
      <protection locked="0"/>
    </xf>
    <xf numFmtId="49" fontId="0" fillId="2" borderId="51" xfId="0" applyNumberFormat="1" applyFon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170" fontId="0" fillId="15" borderId="0" xfId="0" applyNumberFormat="1" applyFill="1" applyBorder="1" applyAlignment="1">
      <alignment horizontal="center"/>
    </xf>
    <xf numFmtId="170" fontId="0" fillId="15" borderId="25" xfId="0" applyNumberFormat="1" applyFill="1" applyBorder="1" applyAlignment="1">
      <alignment horizontal="center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0" fontId="0" fillId="7" borderId="52" xfId="0" applyFont="1" applyFill="1" applyBorder="1" applyAlignment="1" applyProtection="1">
      <alignment horizontal="center" vertical="center"/>
      <protection locked="0"/>
    </xf>
    <xf numFmtId="0" fontId="0" fillId="7" borderId="5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171" fontId="2" fillId="7" borderId="56" xfId="0" applyNumberFormat="1" applyFont="1" applyFill="1" applyBorder="1" applyAlignment="1" applyProtection="1">
      <alignment horizontal="center" vertical="center"/>
      <protection locked="0"/>
    </xf>
    <xf numFmtId="171" fontId="2" fillId="7" borderId="57" xfId="0" applyNumberFormat="1" applyFont="1" applyFill="1" applyBorder="1" applyAlignment="1" applyProtection="1">
      <alignment horizontal="center" vertical="center"/>
      <protection locked="0"/>
    </xf>
    <xf numFmtId="171" fontId="2" fillId="7" borderId="58" xfId="0" applyNumberFormat="1" applyFont="1" applyFill="1" applyBorder="1" applyAlignment="1" applyProtection="1">
      <alignment horizontal="center" vertical="center"/>
      <protection locked="0"/>
    </xf>
    <xf numFmtId="0" fontId="2" fillId="4" borderId="59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>
      <alignment horizontal="left" vertical="center"/>
    </xf>
    <xf numFmtId="0" fontId="1" fillId="5" borderId="5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36" fillId="0" borderId="26" xfId="0" applyFont="1" applyFill="1" applyBorder="1" applyAlignment="1" applyProtection="1">
      <alignment horizontal="center"/>
      <protection locked="0"/>
    </xf>
    <xf numFmtId="0" fontId="36" fillId="0" borderId="27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0" fillId="7" borderId="26" xfId="0" applyFont="1" applyFill="1" applyBorder="1" applyAlignment="1" applyProtection="1">
      <alignment horizontal="center"/>
      <protection locked="0"/>
    </xf>
    <xf numFmtId="0" fontId="0" fillId="7" borderId="27" xfId="0" applyFont="1" applyFill="1" applyBorder="1" applyAlignment="1" applyProtection="1">
      <alignment horizontal="center"/>
      <protection locked="0"/>
    </xf>
    <xf numFmtId="0" fontId="0" fillId="7" borderId="42" xfId="0" applyFont="1" applyFill="1" applyBorder="1" applyAlignment="1" applyProtection="1">
      <alignment horizontal="center" vertical="center"/>
      <protection locked="0"/>
    </xf>
    <xf numFmtId="0" fontId="0" fillId="7" borderId="51" xfId="0" applyFont="1" applyFill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0" fillId="7" borderId="42" xfId="0" applyFont="1" applyFill="1" applyBorder="1" applyAlignment="1" applyProtection="1">
      <alignment horizontal="center"/>
      <protection locked="0"/>
    </xf>
    <xf numFmtId="0" fontId="0" fillId="7" borderId="5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9" fontId="0" fillId="2" borderId="45" xfId="0" applyNumberFormat="1" applyFont="1" applyFill="1" applyBorder="1" applyAlignment="1" applyProtection="1">
      <alignment horizontal="center"/>
      <protection locked="0"/>
    </xf>
    <xf numFmtId="49" fontId="0" fillId="2" borderId="42" xfId="0" applyNumberFormat="1" applyFont="1" applyFill="1" applyBorder="1" applyAlignment="1" applyProtection="1">
      <alignment horizontal="center"/>
      <protection locked="0"/>
    </xf>
    <xf numFmtId="49" fontId="0" fillId="2" borderId="51" xfId="0" applyNumberFormat="1" applyFont="1" applyFill="1" applyBorder="1" applyAlignment="1" applyProtection="1">
      <alignment horizontal="center"/>
      <protection locked="0"/>
    </xf>
    <xf numFmtId="0" fontId="10" fillId="5" borderId="47" xfId="0" applyFont="1" applyFill="1" applyBorder="1" applyAlignment="1">
      <alignment horizontal="left" vertical="center"/>
    </xf>
    <xf numFmtId="0" fontId="10" fillId="5" borderId="60" xfId="0" applyFont="1" applyFill="1" applyBorder="1" applyAlignment="1">
      <alignment horizontal="left" vertical="center"/>
    </xf>
    <xf numFmtId="172" fontId="2" fillId="7" borderId="58" xfId="0" applyNumberFormat="1" applyFont="1" applyFill="1" applyBorder="1" applyAlignment="1" applyProtection="1">
      <alignment horizontal="center" vertical="center"/>
      <protection locked="0"/>
    </xf>
    <xf numFmtId="172" fontId="2" fillId="7" borderId="61" xfId="0" applyNumberFormat="1" applyFont="1" applyFill="1" applyBorder="1" applyAlignment="1" applyProtection="1">
      <alignment horizontal="center" vertic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11" fillId="7" borderId="22" xfId="0" applyFont="1" applyFill="1" applyBorder="1" applyAlignment="1" applyProtection="1">
      <alignment horizontal="center"/>
      <protection locked="0"/>
    </xf>
    <xf numFmtId="0" fontId="11" fillId="7" borderId="25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5" borderId="62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/>
      <protection locked="0"/>
    </xf>
    <xf numFmtId="49" fontId="0" fillId="0" borderId="51" xfId="0" applyNumberFormat="1" applyFont="1" applyBorder="1" applyAlignment="1" applyProtection="1">
      <alignment horizontal="center"/>
      <protection locked="0"/>
    </xf>
    <xf numFmtId="0" fontId="2" fillId="20" borderId="0" xfId="0" applyFont="1" applyFill="1" applyBorder="1" applyAlignment="1">
      <alignment horizontal="left"/>
    </xf>
    <xf numFmtId="170" fontId="0" fillId="15" borderId="0" xfId="0" applyNumberFormat="1" applyFill="1" applyBorder="1" applyAlignment="1" applyProtection="1">
      <alignment horizontal="center"/>
      <protection locked="0"/>
    </xf>
    <xf numFmtId="170" fontId="0" fillId="15" borderId="25" xfId="0" applyNumberFormat="1" applyFill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173" fontId="2" fillId="7" borderId="44" xfId="0" applyNumberFormat="1" applyFont="1" applyFill="1" applyBorder="1" applyAlignment="1" applyProtection="1">
      <alignment horizontal="center" vertical="center"/>
      <protection locked="0"/>
    </xf>
    <xf numFmtId="173" fontId="2" fillId="7" borderId="52" xfId="0" applyNumberFormat="1" applyFont="1" applyFill="1" applyBorder="1" applyAlignment="1" applyProtection="1">
      <alignment horizontal="center" vertical="center"/>
      <protection locked="0"/>
    </xf>
    <xf numFmtId="173" fontId="2" fillId="7" borderId="63" xfId="0" applyNumberFormat="1" applyFont="1" applyFill="1" applyBorder="1" applyAlignment="1" applyProtection="1">
      <alignment horizontal="center" vertical="center"/>
      <protection locked="0"/>
    </xf>
    <xf numFmtId="177" fontId="33" fillId="7" borderId="64" xfId="0" applyNumberFormat="1" applyFont="1" applyFill="1" applyBorder="1" applyAlignment="1" applyProtection="1">
      <alignment horizontal="center" vertical="center" wrapText="1"/>
      <protection locked="0"/>
    </xf>
    <xf numFmtId="177" fontId="33" fillId="7" borderId="52" xfId="0" applyNumberFormat="1" applyFont="1" applyFill="1" applyBorder="1" applyAlignment="1" applyProtection="1">
      <alignment horizontal="center" vertical="center" wrapText="1"/>
      <protection locked="0"/>
    </xf>
    <xf numFmtId="177" fontId="33" fillId="7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2" xfId="0" applyNumberFormat="1" applyFont="1" applyBorder="1" applyAlignment="1" applyProtection="1">
      <alignment horizontal="center"/>
      <protection locked="0"/>
    </xf>
    <xf numFmtId="49" fontId="0" fillId="0" borderId="53" xfId="0" applyNumberFormat="1" applyFont="1" applyBorder="1" applyAlignment="1" applyProtection="1">
      <alignment horizontal="center"/>
      <protection locked="0"/>
    </xf>
    <xf numFmtId="0" fontId="0" fillId="7" borderId="61" xfId="0" applyFont="1" applyFill="1" applyBorder="1" applyAlignment="1" applyProtection="1">
      <alignment horizontal="center" vertical="center"/>
      <protection locked="0"/>
    </xf>
    <xf numFmtId="0" fontId="0" fillId="7" borderId="65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11" borderId="0" xfId="0" applyFont="1" applyFill="1" applyBorder="1" applyAlignment="1">
      <alignment horizontal="left"/>
    </xf>
    <xf numFmtId="0" fontId="0" fillId="15" borderId="0" xfId="0" applyNumberFormat="1" applyFill="1" applyBorder="1" applyAlignment="1">
      <alignment horizontal="center"/>
    </xf>
    <xf numFmtId="0" fontId="0" fillId="15" borderId="25" xfId="0" applyNumberForma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5" borderId="66" xfId="0" applyFont="1" applyFill="1" applyBorder="1" applyAlignment="1">
      <alignment horizontal="left" vertical="center"/>
    </xf>
    <xf numFmtId="0" fontId="1" fillId="5" borderId="47" xfId="0" applyFont="1" applyFill="1" applyBorder="1" applyAlignment="1">
      <alignment horizontal="left" vertical="center"/>
    </xf>
    <xf numFmtId="0" fontId="1" fillId="5" borderId="67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5" borderId="26" xfId="0" applyFont="1" applyFill="1" applyBorder="1" applyAlignment="1">
      <alignment horizontal="left" vertical="center"/>
    </xf>
    <xf numFmtId="0" fontId="2" fillId="20" borderId="26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2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0" fillId="26" borderId="0" xfId="0" applyNumberFormat="1" applyFill="1" applyBorder="1" applyAlignment="1" applyProtection="1">
      <alignment horizontal="center"/>
      <protection locked="0"/>
    </xf>
    <xf numFmtId="0" fontId="0" fillId="26" borderId="25" xfId="0" applyNumberForma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15" fillId="27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11">
    <dxf>
      <fill>
        <patternFill>
          <fgColor indexed="64"/>
          <bgColor rgb="FFFF0000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33CCCC"/>
        </patternFill>
      </fill>
    </dxf>
    <dxf>
      <fill>
        <patternFill>
          <fgColor indexed="64"/>
          <bgColor rgb="FF99CCFF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rgb="FF969696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indexed="65"/>
        </patternFill>
      </fill>
    </dxf>
    <dxf>
      <fill>
        <patternFill>
          <fgColor indexed="64"/>
          <bgColor rgb="FF000000"/>
        </patternFill>
      </fill>
    </dxf>
    <dxf>
      <font>
        <b/>
        <i val="0"/>
        <color rgb="FF000040"/>
      </font>
    </dxf>
    <dxf>
      <fill>
        <patternFill>
          <fgColor indexed="64"/>
          <bgColor rgb="FFFFFFFF"/>
        </patternFill>
      </fill>
    </dxf>
    <dxf/>
    <dxf>
      <fill>
        <patternFill>
          <fgColor indexed="64"/>
          <bgColor rgb="FFFFFF99"/>
        </patternFill>
      </fill>
    </dxf>
    <dxf>
      <font>
        <b/>
        <i val="0"/>
        <color rgb="FF000040"/>
      </font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2</xdr:row>
      <xdr:rowOff>57150</xdr:rowOff>
    </xdr:from>
    <xdr:to>
      <xdr:col>21</xdr:col>
      <xdr:colOff>533400</xdr:colOff>
      <xdr:row>4</xdr:row>
      <xdr:rowOff>57150</xdr:rowOff>
    </xdr:to>
    <xdr:sp macro="[0]!Würfeln">
      <xdr:nvSpPr>
        <xdr:cNvPr id="1" name="Abgerundetes Rechteck 1"/>
        <xdr:cNvSpPr>
          <a:spLocks/>
        </xdr:cNvSpPr>
      </xdr:nvSpPr>
      <xdr:spPr>
        <a:xfrm>
          <a:off x="6581775" y="390525"/>
          <a:ext cx="828675" cy="3238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Würfel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W133"/>
  <sheetViews>
    <sheetView showGridLines="0" tabSelected="1" workbookViewId="0" topLeftCell="A1">
      <selection activeCell="P35" sqref="P35"/>
    </sheetView>
  </sheetViews>
  <sheetFormatPr defaultColWidth="11.421875" defaultRowHeight="12.75" outlineLevelCol="1"/>
  <cols>
    <col min="1" max="2" width="2.7109375" style="0" customWidth="1"/>
    <col min="3" max="3" width="9.421875" style="0" customWidth="1"/>
    <col min="4" max="4" width="2.7109375" style="0" customWidth="1"/>
    <col min="5" max="6" width="5.7109375" style="0" customWidth="1"/>
    <col min="7" max="7" width="2.7109375" style="0" customWidth="1"/>
    <col min="8" max="8" width="11.7109375" style="0" customWidth="1"/>
    <col min="9" max="9" width="1.8515625" style="24" customWidth="1"/>
    <col min="10" max="12" width="2.7109375" style="0" customWidth="1"/>
    <col min="13" max="13" width="5.7109375" style="0" customWidth="1"/>
    <col min="14" max="14" width="8.140625" style="0" customWidth="1"/>
    <col min="15" max="16" width="2.7109375" style="0" customWidth="1"/>
    <col min="17" max="17" width="7.28125" style="0" customWidth="1"/>
    <col min="18" max="18" width="8.00390625" style="0" customWidth="1"/>
    <col min="19" max="19" width="5.00390625" style="0" customWidth="1"/>
    <col min="20" max="20" width="8.140625" style="0" customWidth="1"/>
    <col min="21" max="21" width="2.00390625" style="0" customWidth="1"/>
    <col min="22" max="22" width="14.57421875" style="0" customWidth="1"/>
    <col min="23" max="23" width="9.421875" style="0" customWidth="1"/>
    <col min="24" max="24" width="3.8515625" style="0" customWidth="1"/>
    <col min="25" max="25" width="10.00390625" style="0" customWidth="1"/>
    <col min="26" max="26" width="4.00390625" style="0" customWidth="1"/>
    <col min="27" max="27" width="13.7109375" style="0" customWidth="1"/>
    <col min="28" max="28" width="10.7109375" style="0" customWidth="1"/>
    <col min="29" max="29" width="8.140625" style="0" hidden="1" customWidth="1" outlineLevel="1"/>
    <col min="30" max="30" width="8.28125" style="0" hidden="1" customWidth="1" outlineLevel="1"/>
    <col min="31" max="31" width="20.00390625" style="0" hidden="1" customWidth="1" outlineLevel="1"/>
    <col min="32" max="33" width="11.421875" style="0" hidden="1" customWidth="1" outlineLevel="1"/>
    <col min="34" max="34" width="24.00390625" style="0" hidden="1" customWidth="1" outlineLevel="1"/>
    <col min="35" max="36" width="11.421875" style="0" hidden="1" customWidth="1" outlineLevel="1"/>
    <col min="37" max="37" width="28.421875" style="0" hidden="1" customWidth="1" outlineLevel="1"/>
    <col min="38" max="49" width="11.421875" style="0" hidden="1" customWidth="1" outlineLevel="1"/>
    <col min="50" max="50" width="11.421875" style="0" customWidth="1" collapsed="1"/>
  </cols>
  <sheetData>
    <row r="1" spans="1:29" ht="12.75">
      <c r="A1" s="226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 t="s">
        <v>64</v>
      </c>
      <c r="T1" s="226"/>
      <c r="U1" s="226"/>
      <c r="V1" s="226"/>
      <c r="W1" s="226"/>
      <c r="X1" s="226"/>
      <c r="Y1" s="226"/>
      <c r="Z1" s="226"/>
      <c r="AA1" s="226"/>
      <c r="AB1" s="226"/>
      <c r="AC1" s="21"/>
    </row>
    <row r="2" spans="1:28" ht="13.5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</row>
    <row r="3" spans="1:36" ht="12.75">
      <c r="A3" s="308" t="s">
        <v>2</v>
      </c>
      <c r="B3" s="256"/>
      <c r="C3" s="256"/>
      <c r="D3" s="256"/>
      <c r="E3" s="256"/>
      <c r="F3" s="256"/>
      <c r="G3" s="27"/>
      <c r="H3" s="87" t="s">
        <v>66</v>
      </c>
      <c r="I3" s="57"/>
      <c r="J3" s="308" t="s">
        <v>3</v>
      </c>
      <c r="K3" s="256"/>
      <c r="L3" s="256"/>
      <c r="M3" s="256"/>
      <c r="N3" s="256"/>
      <c r="O3" s="256"/>
      <c r="P3" s="257"/>
      <c r="Q3" s="322" t="str">
        <f>AG3</f>
        <v>Kai-Rang</v>
      </c>
      <c r="R3" s="323"/>
      <c r="S3" s="23"/>
      <c r="W3" s="308" t="s">
        <v>20</v>
      </c>
      <c r="X3" s="256"/>
      <c r="Y3" s="257"/>
      <c r="AA3" s="285" t="s">
        <v>59</v>
      </c>
      <c r="AB3" s="365">
        <f ca="1">INT(RAND()*10)</f>
        <v>5</v>
      </c>
      <c r="AG3" s="130" t="s">
        <v>137</v>
      </c>
      <c r="AH3" s="131" t="s">
        <v>42</v>
      </c>
      <c r="AI3" s="131" t="s">
        <v>138</v>
      </c>
      <c r="AJ3" s="122"/>
    </row>
    <row r="4" spans="1:37" ht="12.75">
      <c r="A4" s="34"/>
      <c r="B4" s="334" t="s">
        <v>28</v>
      </c>
      <c r="C4" s="334"/>
      <c r="D4" s="331"/>
      <c r="E4" s="331"/>
      <c r="F4" s="384">
        <f>D4+AK18</f>
        <v>0</v>
      </c>
      <c r="G4" s="109" t="s">
        <v>100</v>
      </c>
      <c r="H4" s="104">
        <f>$F$4+IF(A7="X",F7,)+IF(A8="X",F8,)+IF(A9="X",F9,)+IF(A10="X",F10,)+H10</f>
        <v>0</v>
      </c>
      <c r="I4" s="56"/>
      <c r="J4" s="34"/>
      <c r="K4" s="35" t="s">
        <v>28</v>
      </c>
      <c r="L4" s="1"/>
      <c r="M4" s="1"/>
      <c r="N4" s="1"/>
      <c r="O4" s="354"/>
      <c r="P4" s="355"/>
      <c r="Q4" s="306"/>
      <c r="R4" s="307"/>
      <c r="S4" s="20"/>
      <c r="W4" s="36"/>
      <c r="X4" s="38">
        <f>W7-AB7</f>
        <v>0</v>
      </c>
      <c r="Y4" s="40"/>
      <c r="AA4" s="286"/>
      <c r="AB4" s="366"/>
      <c r="AG4" s="123" t="s">
        <v>41</v>
      </c>
      <c r="AH4" s="1" t="s">
        <v>43</v>
      </c>
      <c r="AI4" s="132" t="s">
        <v>139</v>
      </c>
      <c r="AJ4" s="124"/>
      <c r="AK4" s="147"/>
    </row>
    <row r="5" spans="1:37" ht="13.5" thickBot="1">
      <c r="A5" s="34"/>
      <c r="B5" s="353" t="s">
        <v>178</v>
      </c>
      <c r="C5" s="353"/>
      <c r="D5" s="353"/>
      <c r="E5" s="353"/>
      <c r="F5" s="152"/>
      <c r="G5" s="109" t="s">
        <v>100</v>
      </c>
      <c r="H5" s="104">
        <f>$F$4+IF(A7="X",F7,)+IF(A8="X",F8,)+IF(A10="X",F10,)+H10+IF(OR(B13="",B14="",B13="Bogen",B14="Bogen"),IF(AND(OR(Q6=AH8,Q6=AH9,Q6=AH10),OR(K25=AH29,K26=AH29,K27=AH29,K28=AH29,K29=AH29,K30=AH29,K31=AH29,K32=AH29,K33=AH29,K34=AH29)),-2,IF(AND(OR(Q6=AH11,Q6=AH12),OR(K25=AH29,K26=AH29,K27=AH29,K28=AH29,K29=AH29,K30=AH29,K31=AH29,K32=AH29,K33=AH29,K34=AH29)),-1,IF(Q6=AH13,0,-4))))</f>
        <v>-4</v>
      </c>
      <c r="I5" s="58"/>
      <c r="J5" s="86"/>
      <c r="K5" s="77" t="s">
        <v>136</v>
      </c>
      <c r="L5" s="1"/>
      <c r="M5" s="1"/>
      <c r="N5" s="1"/>
      <c r="O5" s="230"/>
      <c r="P5" s="231"/>
      <c r="Q5" s="309" t="str">
        <f>AH3</f>
        <v>Magnakai Rang</v>
      </c>
      <c r="R5" s="310"/>
      <c r="S5" s="23"/>
      <c r="AG5" s="123" t="s">
        <v>77</v>
      </c>
      <c r="AH5" s="1" t="s">
        <v>35</v>
      </c>
      <c r="AI5" s="132" t="s">
        <v>140</v>
      </c>
      <c r="AJ5" s="124"/>
      <c r="AK5" s="147"/>
    </row>
    <row r="6" spans="1:37" ht="12.75">
      <c r="A6" s="96"/>
      <c r="B6" s="349" t="s">
        <v>73</v>
      </c>
      <c r="C6" s="349"/>
      <c r="D6" s="349"/>
      <c r="E6" s="349"/>
      <c r="F6" s="152">
        <f>AF37</f>
        <v>4</v>
      </c>
      <c r="G6" s="109" t="s">
        <v>100</v>
      </c>
      <c r="H6" s="88">
        <f>$F$4+IF(A6="x",F6,)+IF(A7="X",F7,)+IF(A8="X",F8,)+(IF(A9="X",F9,)+H10+IF(A10="X",F10,))</f>
        <v>0</v>
      </c>
      <c r="I6" s="58"/>
      <c r="J6" s="86"/>
      <c r="K6" s="79" t="s">
        <v>85</v>
      </c>
      <c r="L6" s="1"/>
      <c r="M6" s="1"/>
      <c r="N6" s="1"/>
      <c r="O6" s="230"/>
      <c r="P6" s="231"/>
      <c r="Q6" s="306"/>
      <c r="R6" s="307"/>
      <c r="S6" s="20"/>
      <c r="T6" s="324" t="s">
        <v>57</v>
      </c>
      <c r="U6" s="325"/>
      <c r="V6" s="325"/>
      <c r="W6" s="326"/>
      <c r="Y6" s="324" t="s">
        <v>58</v>
      </c>
      <c r="Z6" s="325"/>
      <c r="AA6" s="325"/>
      <c r="AB6" s="326"/>
      <c r="AG6" s="123" t="s">
        <v>78</v>
      </c>
      <c r="AH6" s="1" t="s">
        <v>44</v>
      </c>
      <c r="AI6" s="132" t="s">
        <v>141</v>
      </c>
      <c r="AJ6" s="124"/>
      <c r="AK6" s="147"/>
    </row>
    <row r="7" spans="1:37" ht="12.75">
      <c r="A7" s="115"/>
      <c r="B7" s="289"/>
      <c r="C7" s="289"/>
      <c r="D7" s="289"/>
      <c r="E7" s="289"/>
      <c r="F7" s="72">
        <f>IF(B7=AH44,8,IF(B7=AH42,4,IF(B7=AH43,IF(OR(Q6=AH12,Q6=AH13),6,4),IF(B7=AH41,IF(OR(Q6=AH12,Q6=AH13),3,2),0))))</f>
        <v>0</v>
      </c>
      <c r="G7" s="1"/>
      <c r="H7" s="167"/>
      <c r="I7" s="58"/>
      <c r="J7" s="86"/>
      <c r="K7" s="79" t="s">
        <v>154</v>
      </c>
      <c r="L7" s="1"/>
      <c r="M7" s="1"/>
      <c r="N7" s="1"/>
      <c r="O7" s="335"/>
      <c r="P7" s="336"/>
      <c r="Q7" s="309" t="str">
        <f>AI3</f>
        <v>Großmeister Rang</v>
      </c>
      <c r="R7" s="310"/>
      <c r="T7" s="287" t="s">
        <v>2</v>
      </c>
      <c r="U7" s="288"/>
      <c r="V7" s="288"/>
      <c r="W7" s="93"/>
      <c r="Y7" s="287" t="s">
        <v>2</v>
      </c>
      <c r="Z7" s="288"/>
      <c r="AA7" s="288"/>
      <c r="AB7" s="95">
        <f>AC13</f>
        <v>0</v>
      </c>
      <c r="AG7" s="123" t="s">
        <v>79</v>
      </c>
      <c r="AH7" s="1" t="s">
        <v>36</v>
      </c>
      <c r="AI7" s="132" t="s">
        <v>142</v>
      </c>
      <c r="AJ7" s="124"/>
      <c r="AK7" s="147"/>
    </row>
    <row r="8" spans="1:38" ht="12.75">
      <c r="A8" s="96"/>
      <c r="B8" s="77" t="s">
        <v>136</v>
      </c>
      <c r="C8" s="1"/>
      <c r="D8" s="1"/>
      <c r="E8" s="1"/>
      <c r="F8" s="72">
        <v>5</v>
      </c>
      <c r="G8" s="1"/>
      <c r="H8" s="167"/>
      <c r="I8" s="58"/>
      <c r="J8" s="86"/>
      <c r="K8" s="79" t="s">
        <v>29</v>
      </c>
      <c r="O8" s="335"/>
      <c r="P8" s="336"/>
      <c r="Q8" s="306"/>
      <c r="R8" s="307"/>
      <c r="T8" s="287" t="s">
        <v>3</v>
      </c>
      <c r="U8" s="288"/>
      <c r="V8" s="288"/>
      <c r="W8" s="93"/>
      <c r="Y8" s="287" t="s">
        <v>3</v>
      </c>
      <c r="Z8" s="288"/>
      <c r="AA8" s="288"/>
      <c r="AB8" s="95">
        <f>AD13</f>
        <v>0</v>
      </c>
      <c r="AG8" s="123" t="s">
        <v>33</v>
      </c>
      <c r="AH8" s="1" t="s">
        <v>37</v>
      </c>
      <c r="AI8" s="132" t="s">
        <v>143</v>
      </c>
      <c r="AJ8" s="124"/>
      <c r="AK8" s="148">
        <f>IF($K$47="","",2)</f>
      </c>
      <c r="AL8" s="148">
        <f>IF($K$47="","",1)</f>
      </c>
    </row>
    <row r="9" spans="1:38" ht="13.5" thickBot="1">
      <c r="A9" s="115"/>
      <c r="B9" s="79" t="s">
        <v>89</v>
      </c>
      <c r="C9" s="1"/>
      <c r="D9" s="1"/>
      <c r="E9" s="1"/>
      <c r="F9" s="100">
        <v>8</v>
      </c>
      <c r="G9" s="1"/>
      <c r="H9" s="88" t="s">
        <v>29</v>
      </c>
      <c r="I9" s="58"/>
      <c r="J9" s="116"/>
      <c r="K9" s="187" t="s">
        <v>180</v>
      </c>
      <c r="L9" s="186"/>
      <c r="M9" s="186"/>
      <c r="N9" s="188">
        <v>0</v>
      </c>
      <c r="O9" s="374">
        <v>0</v>
      </c>
      <c r="P9" s="375"/>
      <c r="Q9" s="34"/>
      <c r="R9" s="39"/>
      <c r="T9" s="320" t="s">
        <v>60</v>
      </c>
      <c r="U9" s="321"/>
      <c r="V9" s="321"/>
      <c r="W9" s="9">
        <f>'Kampfresultat Tabelle'!C51</f>
        <v>-2</v>
      </c>
      <c r="Y9" s="320" t="s">
        <v>60</v>
      </c>
      <c r="Z9" s="321"/>
      <c r="AA9" s="321"/>
      <c r="AB9" s="9">
        <f>'Kampfresultat Tabelle'!C50</f>
        <v>-7</v>
      </c>
      <c r="AG9" s="123" t="s">
        <v>80</v>
      </c>
      <c r="AH9" s="1" t="s">
        <v>38</v>
      </c>
      <c r="AI9" s="132" t="s">
        <v>144</v>
      </c>
      <c r="AJ9" s="124"/>
      <c r="AK9" s="148">
        <f>IF($K$48="","",2)</f>
      </c>
      <c r="AL9" s="148">
        <f>IF($K$48="","",1)</f>
      </c>
    </row>
    <row r="10" spans="1:38" ht="13.5" thickBot="1">
      <c r="A10" s="97"/>
      <c r="B10" s="78" t="s">
        <v>85</v>
      </c>
      <c r="C10" s="48"/>
      <c r="D10" s="48"/>
      <c r="E10" s="73"/>
      <c r="F10" s="92">
        <f>IF(AF25=TRUE,Q37,0)+IF(AF26=TRUE,Q38,0)+IF(AF27=TRUE,Q39,0)+IF(AF28=TRUE,Q40,0)</f>
        <v>0</v>
      </c>
      <c r="G10" s="73"/>
      <c r="H10" s="103"/>
      <c r="I10" s="56"/>
      <c r="J10" s="51" t="s">
        <v>27</v>
      </c>
      <c r="K10" s="48"/>
      <c r="L10" s="48"/>
      <c r="M10" s="356">
        <f>SUM(O4:P9)</f>
        <v>0</v>
      </c>
      <c r="N10" s="356"/>
      <c r="O10" s="356"/>
      <c r="P10" s="357"/>
      <c r="Q10" s="36"/>
      <c r="R10" s="40"/>
      <c r="V10" s="108">
        <f>IF(B7=AH44,"Achtung: -1AP pro Angriff",IF(B7=AH43,IF(OR(Q6=AH12,Q6=AH13),"Achtung: -1AP pro Angriff","Achtung: -2AP pro Angriff"),""))</f>
      </c>
      <c r="AA10" s="184" t="s">
        <v>181</v>
      </c>
      <c r="AB10" s="185">
        <v>10</v>
      </c>
      <c r="AG10" s="123" t="s">
        <v>81</v>
      </c>
      <c r="AH10" s="1" t="s">
        <v>39</v>
      </c>
      <c r="AI10" s="132" t="s">
        <v>145</v>
      </c>
      <c r="AJ10" s="124"/>
      <c r="AK10" s="148">
        <f>IF($K$49="","",2)</f>
      </c>
      <c r="AL10" s="148">
        <f>IF($K$49="","",1)</f>
      </c>
    </row>
    <row r="11" spans="9:38" ht="12.75">
      <c r="I11" s="56"/>
      <c r="J11" s="189">
        <f>IF(Q6="","",AR72)</f>
      </c>
      <c r="K11" s="79"/>
      <c r="S11" s="110"/>
      <c r="T11" s="328" t="s">
        <v>62</v>
      </c>
      <c r="U11" s="328"/>
      <c r="V11" s="328"/>
      <c r="W11" s="328"/>
      <c r="X11" s="328"/>
      <c r="Y11" s="328"/>
      <c r="Z11" s="328"/>
      <c r="AA11" s="328"/>
      <c r="AB11" s="328"/>
      <c r="AC11" s="224" t="s">
        <v>62</v>
      </c>
      <c r="AD11" s="225"/>
      <c r="AE11" s="225"/>
      <c r="AF11" s="225"/>
      <c r="AG11" s="123" t="s">
        <v>82</v>
      </c>
      <c r="AH11" s="1" t="s">
        <v>40</v>
      </c>
      <c r="AI11" s="132" t="s">
        <v>146</v>
      </c>
      <c r="AJ11" s="124"/>
      <c r="AK11" s="148">
        <f>IF($K$50="","",2)</f>
      </c>
      <c r="AL11" s="148">
        <f>IF($K$50="","",1)</f>
      </c>
    </row>
    <row r="12" spans="1:38" ht="13.5" thickBot="1">
      <c r="A12" s="308" t="s">
        <v>4</v>
      </c>
      <c r="B12" s="256"/>
      <c r="C12" s="256"/>
      <c r="D12" s="256"/>
      <c r="E12" s="256"/>
      <c r="F12" s="256"/>
      <c r="G12" s="256"/>
      <c r="H12" s="257"/>
      <c r="I12" s="59"/>
      <c r="J12" s="274" t="s">
        <v>31</v>
      </c>
      <c r="K12" s="275"/>
      <c r="L12" s="275"/>
      <c r="M12" s="275"/>
      <c r="N12" s="275"/>
      <c r="O12" s="275"/>
      <c r="P12" s="275"/>
      <c r="Q12" s="275"/>
      <c r="R12" s="276"/>
      <c r="S12" s="30"/>
      <c r="T12" s="328"/>
      <c r="U12" s="328"/>
      <c r="V12" s="328"/>
      <c r="W12" s="328"/>
      <c r="X12" s="328"/>
      <c r="Y12" s="328"/>
      <c r="Z12" s="328"/>
      <c r="AA12" s="328"/>
      <c r="AB12" s="328"/>
      <c r="AC12" s="117" t="s">
        <v>55</v>
      </c>
      <c r="AD12" s="30" t="s">
        <v>56</v>
      </c>
      <c r="AE12" s="30" t="s">
        <v>55</v>
      </c>
      <c r="AF12" s="30" t="s">
        <v>56</v>
      </c>
      <c r="AG12" s="123" t="s">
        <v>83</v>
      </c>
      <c r="AH12" s="1" t="s">
        <v>34</v>
      </c>
      <c r="AI12" s="132" t="s">
        <v>147</v>
      </c>
      <c r="AJ12" s="124"/>
      <c r="AK12" s="148">
        <f>IF($K$51="","",2)</f>
      </c>
      <c r="AL12" s="148">
        <f>IF($K$51="","",1)</f>
      </c>
    </row>
    <row r="13" spans="1:38" ht="12.75">
      <c r="A13" s="158">
        <v>1</v>
      </c>
      <c r="B13" s="345"/>
      <c r="C13" s="345"/>
      <c r="D13" s="345"/>
      <c r="E13" s="345"/>
      <c r="F13" s="345"/>
      <c r="G13" s="345"/>
      <c r="H13" s="346"/>
      <c r="I13" s="59"/>
      <c r="J13" s="141">
        <v>1</v>
      </c>
      <c r="K13" s="234"/>
      <c r="L13" s="234"/>
      <c r="M13" s="234"/>
      <c r="N13" s="234"/>
      <c r="O13" s="234"/>
      <c r="P13" s="234"/>
      <c r="Q13" s="234"/>
      <c r="R13" s="235"/>
      <c r="S13" s="229" t="s">
        <v>86</v>
      </c>
      <c r="T13" s="68" t="s">
        <v>63</v>
      </c>
      <c r="U13" s="318"/>
      <c r="V13" s="253"/>
      <c r="W13" s="254"/>
      <c r="X13" s="247"/>
      <c r="Y13" s="68" t="s">
        <v>63</v>
      </c>
      <c r="Z13" s="318"/>
      <c r="AA13" s="284"/>
      <c r="AB13" s="319"/>
      <c r="AC13" s="117">
        <f>IF($S$13="X",U14,AC14)</f>
        <v>0</v>
      </c>
      <c r="AD13" s="30">
        <f>IF($S$13="X",U15,AD14)</f>
        <v>0</v>
      </c>
      <c r="AE13" s="30">
        <f>IF($X$13="X",Z14,AE14)</f>
        <v>0</v>
      </c>
      <c r="AF13" s="30">
        <f>IF($X$13="X",Z15,AF14)</f>
        <v>0</v>
      </c>
      <c r="AG13" s="123" t="s">
        <v>84</v>
      </c>
      <c r="AH13" s="77" t="s">
        <v>151</v>
      </c>
      <c r="AI13" s="132" t="s">
        <v>148</v>
      </c>
      <c r="AJ13" s="124"/>
      <c r="AK13" s="148">
        <f>IF($K$52="","",2)</f>
      </c>
      <c r="AL13" s="148">
        <f>IF($K$52="","",1)</f>
      </c>
    </row>
    <row r="14" spans="1:38" ht="12.75">
      <c r="A14" s="159">
        <v>2</v>
      </c>
      <c r="B14" s="332"/>
      <c r="C14" s="332"/>
      <c r="D14" s="332"/>
      <c r="E14" s="332"/>
      <c r="F14" s="332"/>
      <c r="G14" s="332"/>
      <c r="H14" s="333"/>
      <c r="I14" s="59"/>
      <c r="J14" s="141">
        <v>2</v>
      </c>
      <c r="K14" s="279"/>
      <c r="L14" s="279"/>
      <c r="M14" s="279"/>
      <c r="N14" s="279"/>
      <c r="O14" s="279"/>
      <c r="P14" s="279"/>
      <c r="Q14" s="279"/>
      <c r="R14" s="280"/>
      <c r="S14" s="229"/>
      <c r="T14" s="69" t="s">
        <v>55</v>
      </c>
      <c r="U14" s="241"/>
      <c r="V14" s="242"/>
      <c r="W14" s="243"/>
      <c r="X14" s="247"/>
      <c r="Y14" s="69" t="s">
        <v>55</v>
      </c>
      <c r="Z14" s="281"/>
      <c r="AA14" s="282"/>
      <c r="AB14" s="283"/>
      <c r="AC14" s="117">
        <f>IF($S$17="X",U18,AC15)</f>
        <v>0</v>
      </c>
      <c r="AD14" s="30">
        <f>IF($S$17="X",U19,AD15)</f>
        <v>0</v>
      </c>
      <c r="AE14" s="30">
        <f>IF($X$17="X",Z18,AE15)</f>
        <v>0</v>
      </c>
      <c r="AF14" s="30">
        <f>IF($X$17="X",Z19,AF15)</f>
        <v>0</v>
      </c>
      <c r="AG14" s="123"/>
      <c r="AH14" s="1"/>
      <c r="AI14" s="132" t="s">
        <v>149</v>
      </c>
      <c r="AJ14" s="124"/>
      <c r="AK14" s="148">
        <f>IF($K$53="","",2)</f>
      </c>
      <c r="AL14" s="148">
        <f>IF($K$53="","",1)</f>
      </c>
    </row>
    <row r="15" spans="1:38" ht="13.5" thickBot="1">
      <c r="A15" s="28"/>
      <c r="B15" s="239">
        <f>IF(F22="xxx","+5 Bogenwaffen &amp; +2 Wurfwaffen","")</f>
      </c>
      <c r="C15" s="239"/>
      <c r="D15" s="239"/>
      <c r="E15" s="239"/>
      <c r="F15" s="239"/>
      <c r="G15" s="239"/>
      <c r="H15" s="240"/>
      <c r="I15" s="59"/>
      <c r="J15" s="141">
        <v>3</v>
      </c>
      <c r="K15" s="279"/>
      <c r="L15" s="279"/>
      <c r="M15" s="279"/>
      <c r="N15" s="279"/>
      <c r="O15" s="279"/>
      <c r="P15" s="279"/>
      <c r="Q15" s="279"/>
      <c r="R15" s="280"/>
      <c r="S15" s="229"/>
      <c r="T15" s="70" t="s">
        <v>56</v>
      </c>
      <c r="U15" s="236"/>
      <c r="V15" s="237"/>
      <c r="W15" s="238"/>
      <c r="X15" s="247"/>
      <c r="Y15" s="70" t="s">
        <v>56</v>
      </c>
      <c r="Z15" s="258"/>
      <c r="AA15" s="295"/>
      <c r="AB15" s="296"/>
      <c r="AC15" s="117">
        <f>IF($S$21="X",U22,AC16)</f>
        <v>0</v>
      </c>
      <c r="AD15" s="30">
        <f>IF($S$21="X",U23,AD16)</f>
        <v>0</v>
      </c>
      <c r="AE15" s="30">
        <f>IF($X$21="X",Z22,AE16)</f>
        <v>0</v>
      </c>
      <c r="AF15" s="30">
        <f>IF($X$21="X",Z23,AF16)</f>
        <v>0</v>
      </c>
      <c r="AG15" s="125"/>
      <c r="AH15" s="2"/>
      <c r="AI15" s="133" t="s">
        <v>150</v>
      </c>
      <c r="AJ15" s="126"/>
      <c r="AK15" s="148">
        <f>IF($K$54="","",2)</f>
      </c>
      <c r="AL15" s="148">
        <f>IF($K$54="","",1)</f>
      </c>
    </row>
    <row r="16" spans="1:36" ht="13.5" thickBot="1">
      <c r="A16" s="34"/>
      <c r="B16" s="1"/>
      <c r="C16" s="35" t="s">
        <v>15</v>
      </c>
      <c r="D16" s="99"/>
      <c r="E16" s="261" t="s">
        <v>17</v>
      </c>
      <c r="F16" s="262"/>
      <c r="G16" s="98"/>
      <c r="H16" s="146" t="s">
        <v>18</v>
      </c>
      <c r="I16" s="59"/>
      <c r="J16" s="141">
        <v>4</v>
      </c>
      <c r="K16" s="279"/>
      <c r="L16" s="279"/>
      <c r="M16" s="279"/>
      <c r="N16" s="279"/>
      <c r="O16" s="279"/>
      <c r="P16" s="279"/>
      <c r="Q16" s="279"/>
      <c r="R16" s="280"/>
      <c r="S16" s="80"/>
      <c r="X16" s="83"/>
      <c r="AA16" s="1"/>
      <c r="AC16" s="117">
        <f>IF($S$25="X",U26,AC17)</f>
        <v>0</v>
      </c>
      <c r="AD16" s="30">
        <f>IF($S$25="X",U27,AD17)</f>
        <v>0</v>
      </c>
      <c r="AE16" s="30">
        <f>IF($X$25="X",Z26,AE17)</f>
        <v>0</v>
      </c>
      <c r="AF16" s="128">
        <f>IF($X$25="X",27,AF17)</f>
        <v>0</v>
      </c>
      <c r="AJ16" s="149" t="s">
        <v>179</v>
      </c>
    </row>
    <row r="17" spans="1:37" ht="12.75">
      <c r="A17" s="36"/>
      <c r="B17" s="48"/>
      <c r="C17" s="37" t="s">
        <v>16</v>
      </c>
      <c r="D17" s="94"/>
      <c r="E17" s="259">
        <f>IF(B15&gt;"","",IF(AND(OR(Q6=AH11,Q6=AH12,Q6=AH13),OR(K25=AH29,K26=AH29,K27=AH29,K28=AH29,K29=AH29,K30=AH29,K31=AH29,K32=AH29,K33=AH29,K34=AH29)),"+2 Distanzwaffe",""))</f>
      </c>
      <c r="F17" s="259"/>
      <c r="G17" s="259"/>
      <c r="H17" s="260"/>
      <c r="I17" s="59"/>
      <c r="J17" s="141">
        <v>5</v>
      </c>
      <c r="K17" s="279"/>
      <c r="L17" s="279"/>
      <c r="M17" s="279"/>
      <c r="N17" s="279"/>
      <c r="O17" s="279"/>
      <c r="P17" s="279"/>
      <c r="Q17" s="279"/>
      <c r="R17" s="280"/>
      <c r="S17" s="229"/>
      <c r="T17" s="68" t="s">
        <v>63</v>
      </c>
      <c r="U17" s="318"/>
      <c r="V17" s="284"/>
      <c r="W17" s="319"/>
      <c r="X17" s="247"/>
      <c r="Y17" s="68" t="s">
        <v>63</v>
      </c>
      <c r="Z17" s="318"/>
      <c r="AA17" s="284"/>
      <c r="AB17" s="319"/>
      <c r="AC17" s="117">
        <f>IF($S$29="X",U30,AC18)</f>
        <v>0</v>
      </c>
      <c r="AD17" s="30">
        <f>IF($S$29="X",U31,AD18)</f>
        <v>0</v>
      </c>
      <c r="AE17" s="30">
        <f>IF($X$29="X",Z30,AE18)</f>
        <v>0</v>
      </c>
      <c r="AF17" s="128">
        <f>IF($X$29="X",Z31,AF18)</f>
        <v>0</v>
      </c>
      <c r="AJ17" s="150" t="s">
        <v>56</v>
      </c>
      <c r="AK17" s="149">
        <f>SUM(AK8:AK15)</f>
        <v>0</v>
      </c>
    </row>
    <row r="18" spans="9:37" ht="12.75">
      <c r="I18" s="59"/>
      <c r="J18" s="141">
        <v>6</v>
      </c>
      <c r="K18" s="279"/>
      <c r="L18" s="279"/>
      <c r="M18" s="279"/>
      <c r="N18" s="279"/>
      <c r="O18" s="279"/>
      <c r="P18" s="279"/>
      <c r="Q18" s="279"/>
      <c r="R18" s="280"/>
      <c r="S18" s="229"/>
      <c r="T18" s="69" t="s">
        <v>55</v>
      </c>
      <c r="U18" s="241"/>
      <c r="V18" s="242"/>
      <c r="W18" s="243"/>
      <c r="X18" s="247"/>
      <c r="Y18" s="69" t="s">
        <v>55</v>
      </c>
      <c r="Z18" s="281"/>
      <c r="AA18" s="282"/>
      <c r="AB18" s="283"/>
      <c r="AC18" s="117">
        <f>IF($S$33="X",U34,AC19)</f>
        <v>0</v>
      </c>
      <c r="AD18" s="30">
        <f>IF($S$33="X",U35,AD19)</f>
        <v>0</v>
      </c>
      <c r="AE18" s="30">
        <f>IF($X$33="X",Z34,AE19)</f>
        <v>0</v>
      </c>
      <c r="AF18" s="128">
        <f>IF($X$33="X",Z35,AF19)</f>
        <v>0</v>
      </c>
      <c r="AJ18" s="150" t="s">
        <v>55</v>
      </c>
      <c r="AK18" s="151">
        <f>SUM(AL8:AL15)</f>
        <v>0</v>
      </c>
    </row>
    <row r="19" spans="1:34" ht="13.5" thickBot="1">
      <c r="A19" s="290" t="s">
        <v>5</v>
      </c>
      <c r="B19" s="291"/>
      <c r="C19" s="291"/>
      <c r="D19" s="291"/>
      <c r="E19" s="291"/>
      <c r="F19" s="291"/>
      <c r="G19" s="291"/>
      <c r="H19" s="292"/>
      <c r="I19" s="140"/>
      <c r="J19" s="141">
        <v>7</v>
      </c>
      <c r="K19" s="279"/>
      <c r="L19" s="279"/>
      <c r="M19" s="279"/>
      <c r="N19" s="279"/>
      <c r="O19" s="279"/>
      <c r="P19" s="279"/>
      <c r="Q19" s="279"/>
      <c r="R19" s="280"/>
      <c r="S19" s="229"/>
      <c r="T19" s="70" t="s">
        <v>56</v>
      </c>
      <c r="U19" s="236"/>
      <c r="V19" s="237"/>
      <c r="W19" s="238"/>
      <c r="X19" s="247"/>
      <c r="Y19" s="70" t="s">
        <v>56</v>
      </c>
      <c r="Z19" s="258"/>
      <c r="AA19" s="295"/>
      <c r="AB19" s="296"/>
      <c r="AC19" s="117">
        <f>IF($S$37="X",U38,AC20)</f>
        <v>0</v>
      </c>
      <c r="AD19" s="30">
        <f>IF($S$37="X",U39,AD20)</f>
        <v>0</v>
      </c>
      <c r="AE19" s="30">
        <f>IF($X$37="X",Z38,AE20)</f>
        <v>0</v>
      </c>
      <c r="AF19" s="128">
        <f>IF($X$37="X",Z39,AF20)</f>
        <v>0</v>
      </c>
      <c r="AH19" t="b">
        <f>OR($Q$8=$AI$4,$Q$8=$AI$5,$Q$8=$AI$6,$Q$8=$AI$7,$Q$8=$AI$8,$Q$8=$AI$9,$Q$8=$AI$10,$Q$8=$AI$11,$Q$8=$AI$12,$Q$8=$AI$13,$Q$8=$AI$14,$Q$8=$AI$15)</f>
        <v>0</v>
      </c>
    </row>
    <row r="20" spans="1:32" ht="13.5" thickBot="1">
      <c r="A20" s="74"/>
      <c r="B20" s="163">
        <v>1</v>
      </c>
      <c r="C20" s="227" t="str">
        <f>AE37</f>
        <v>Dolch</v>
      </c>
      <c r="D20" s="227"/>
      <c r="E20" s="228"/>
      <c r="F20" s="74"/>
      <c r="G20" s="163">
        <v>6</v>
      </c>
      <c r="H20" s="164" t="str">
        <f>AE42</f>
        <v>Speer</v>
      </c>
      <c r="I20" s="75"/>
      <c r="J20" s="141">
        <v>8</v>
      </c>
      <c r="K20" s="279"/>
      <c r="L20" s="279"/>
      <c r="M20" s="279"/>
      <c r="N20" s="279"/>
      <c r="O20" s="279"/>
      <c r="P20" s="279"/>
      <c r="Q20" s="279"/>
      <c r="R20" s="280"/>
      <c r="S20" s="80"/>
      <c r="X20" s="83"/>
      <c r="AC20" s="117">
        <f>IF($S$41="X",U42,AC21)</f>
        <v>0</v>
      </c>
      <c r="AD20" s="30">
        <f>IF($S$41="X",U43,AD21)</f>
        <v>0</v>
      </c>
      <c r="AE20" s="30">
        <f>IF($X$41="X",Z42,AE21)</f>
        <v>0</v>
      </c>
      <c r="AF20" s="128">
        <f>IF($X$41="X",43,AF21)</f>
        <v>0</v>
      </c>
    </row>
    <row r="21" spans="1:32" ht="12.75">
      <c r="A21" s="74"/>
      <c r="B21" s="163">
        <v>2</v>
      </c>
      <c r="C21" s="227" t="str">
        <f>AE38</f>
        <v>Streitkolben</v>
      </c>
      <c r="D21" s="227"/>
      <c r="E21" s="228"/>
      <c r="F21" s="74"/>
      <c r="G21" s="163">
        <v>7</v>
      </c>
      <c r="H21" s="164" t="str">
        <f>AE43</f>
        <v>Kurzschwert</v>
      </c>
      <c r="I21" s="75"/>
      <c r="J21" s="141">
        <v>9</v>
      </c>
      <c r="K21" s="279"/>
      <c r="L21" s="279"/>
      <c r="M21" s="279"/>
      <c r="N21" s="279"/>
      <c r="O21" s="279"/>
      <c r="P21" s="279"/>
      <c r="Q21" s="279"/>
      <c r="R21" s="280"/>
      <c r="S21" s="229"/>
      <c r="T21" s="68" t="s">
        <v>63</v>
      </c>
      <c r="U21" s="318"/>
      <c r="V21" s="253"/>
      <c r="W21" s="254"/>
      <c r="X21" s="247"/>
      <c r="Y21" s="68" t="s">
        <v>63</v>
      </c>
      <c r="Z21" s="318"/>
      <c r="AA21" s="253"/>
      <c r="AB21" s="254"/>
      <c r="AC21" s="117">
        <f>IF($S$45="X",U46,AC22)</f>
        <v>0</v>
      </c>
      <c r="AD21" s="30">
        <f>IF($S$45="X",U47,AD22)</f>
        <v>0</v>
      </c>
      <c r="AE21" s="30">
        <f>IF($X$45="X",Z46,AE22)</f>
        <v>0</v>
      </c>
      <c r="AF21" s="128">
        <f>IF($X$45="X",Z47,AF22)</f>
        <v>0</v>
      </c>
    </row>
    <row r="22" spans="1:32" ht="12.75">
      <c r="A22" s="74"/>
      <c r="B22" s="163">
        <v>3</v>
      </c>
      <c r="C22" s="227" t="str">
        <f>AE39</f>
        <v>Kriegshammer</v>
      </c>
      <c r="D22" s="227"/>
      <c r="E22" s="228"/>
      <c r="F22" s="74"/>
      <c r="G22" s="163">
        <v>8</v>
      </c>
      <c r="H22" s="164" t="str">
        <f>AE44</f>
        <v>Bogen</v>
      </c>
      <c r="I22" s="75"/>
      <c r="J22" s="142">
        <v>10</v>
      </c>
      <c r="K22" s="347"/>
      <c r="L22" s="347"/>
      <c r="M22" s="347"/>
      <c r="N22" s="347"/>
      <c r="O22" s="347"/>
      <c r="P22" s="347"/>
      <c r="Q22" s="347"/>
      <c r="R22" s="348"/>
      <c r="S22" s="229"/>
      <c r="T22" s="69" t="s">
        <v>55</v>
      </c>
      <c r="U22" s="241"/>
      <c r="V22" s="242"/>
      <c r="W22" s="243"/>
      <c r="X22" s="247"/>
      <c r="Y22" s="69" t="s">
        <v>55</v>
      </c>
      <c r="Z22" s="241"/>
      <c r="AA22" s="242"/>
      <c r="AB22" s="243"/>
      <c r="AC22" s="117">
        <f>IF($S$49="X",U50,AC23)</f>
        <v>0</v>
      </c>
      <c r="AD22" s="30">
        <f>IF($S$49="X",U51,AD23)</f>
        <v>0</v>
      </c>
      <c r="AE22" s="30">
        <f>IF($X$49="X",Z50,AE23)</f>
        <v>0</v>
      </c>
      <c r="AF22" s="128">
        <f>IF($X$49="X",Z51,AF23)</f>
        <v>0</v>
      </c>
    </row>
    <row r="23" spans="1:32" ht="13.5" thickBot="1">
      <c r="A23" s="74"/>
      <c r="B23" s="163">
        <v>4</v>
      </c>
      <c r="C23" s="227" t="str">
        <f>AE40</f>
        <v>Axt</v>
      </c>
      <c r="D23" s="227"/>
      <c r="E23" s="228"/>
      <c r="F23" s="74"/>
      <c r="G23" s="163">
        <v>9</v>
      </c>
      <c r="H23" s="164" t="str">
        <f>AE45</f>
        <v>Schwert</v>
      </c>
      <c r="I23" s="34"/>
      <c r="J23" s="137"/>
      <c r="K23" s="143"/>
      <c r="L23" s="143"/>
      <c r="M23" s="143"/>
      <c r="N23" s="143"/>
      <c r="O23" s="143"/>
      <c r="P23" s="143"/>
      <c r="Q23" s="143"/>
      <c r="R23" s="143"/>
      <c r="S23" s="229"/>
      <c r="T23" s="70" t="s">
        <v>56</v>
      </c>
      <c r="U23" s="236"/>
      <c r="V23" s="237"/>
      <c r="W23" s="238"/>
      <c r="X23" s="247"/>
      <c r="Y23" s="70" t="s">
        <v>56</v>
      </c>
      <c r="Z23" s="258"/>
      <c r="AA23" s="237"/>
      <c r="AB23" s="238"/>
      <c r="AC23" s="118">
        <f>IF($S$53="X",U54,AE13)</f>
        <v>0</v>
      </c>
      <c r="AD23" s="119">
        <f>IF($S$53="X",U55,AF13)</f>
        <v>0</v>
      </c>
      <c r="AE23" s="119">
        <f>IF($X$53="X",Z54,AC13)</f>
        <v>0</v>
      </c>
      <c r="AF23" s="129">
        <f>IF($X$53="X",Z55,AD13)</f>
        <v>0</v>
      </c>
    </row>
    <row r="24" spans="1:37" ht="13.5" thickBot="1">
      <c r="A24" s="74"/>
      <c r="B24" s="165">
        <v>5</v>
      </c>
      <c r="C24" s="269" t="str">
        <f>AE41</f>
        <v>Kampfstab</v>
      </c>
      <c r="D24" s="269"/>
      <c r="E24" s="270"/>
      <c r="F24" s="74"/>
      <c r="G24" s="165">
        <v>0</v>
      </c>
      <c r="H24" s="166" t="str">
        <f>AE46</f>
        <v>Breitschwert</v>
      </c>
      <c r="I24" s="75"/>
      <c r="J24" s="274" t="s">
        <v>0</v>
      </c>
      <c r="K24" s="275"/>
      <c r="L24" s="275"/>
      <c r="M24" s="275"/>
      <c r="N24" s="275"/>
      <c r="O24" s="275"/>
      <c r="P24" s="275"/>
      <c r="Q24" s="275"/>
      <c r="R24" s="276"/>
      <c r="S24" s="81"/>
      <c r="X24" s="83"/>
      <c r="AE24" s="127" t="s">
        <v>67</v>
      </c>
      <c r="AF24" s="255" t="s">
        <v>54</v>
      </c>
      <c r="AG24" s="256"/>
      <c r="AH24" s="257"/>
      <c r="AI24" s="255" t="s">
        <v>154</v>
      </c>
      <c r="AJ24" s="256"/>
      <c r="AK24" s="257"/>
    </row>
    <row r="25" spans="8:37" ht="12.75">
      <c r="H25" s="110"/>
      <c r="J25" s="141">
        <v>1</v>
      </c>
      <c r="K25" s="234"/>
      <c r="L25" s="234"/>
      <c r="M25" s="234"/>
      <c r="N25" s="234"/>
      <c r="O25" s="234"/>
      <c r="P25" s="234"/>
      <c r="Q25" s="234"/>
      <c r="R25" s="235"/>
      <c r="S25" s="247"/>
      <c r="T25" s="68" t="s">
        <v>63</v>
      </c>
      <c r="U25" s="284"/>
      <c r="V25" s="253"/>
      <c r="W25" s="254"/>
      <c r="X25" s="373"/>
      <c r="Y25" s="68" t="s">
        <v>63</v>
      </c>
      <c r="Z25" s="284"/>
      <c r="AA25" s="253"/>
      <c r="AB25" s="254"/>
      <c r="AE25" s="75" t="s">
        <v>68</v>
      </c>
      <c r="AF25" s="34" t="b">
        <f>AND(AG29,AG27)</f>
        <v>0</v>
      </c>
      <c r="AG25" s="1" t="b">
        <f>OR($K$25=$AH25,$K$26=$AH25,$K$27=$AH25,$K$28=$AH25,$K$25=$AH25,$K$29=$AH25,$K$30=$AH25,$K$31=$AH25,$K$32=$AH25,$K$33=$AH25,$K$34=$AH25)</f>
        <v>0</v>
      </c>
      <c r="AH25" s="39" t="s">
        <v>45</v>
      </c>
      <c r="AI25" s="34" t="b">
        <f>AND(AJ29,AJ27)</f>
        <v>0</v>
      </c>
      <c r="AJ25" s="1" t="b">
        <f>OR($K$25=$AH25,$K$26=$AH25,$K$27=$AH25,$K$28=$AH25,$K$25=$AH25,$K$29=$AH25,$K$30=$AH25,$K$31=$AH25,$K$32=$AH25,$K$33=$AH25,$K$34=$AH25)</f>
        <v>0</v>
      </c>
      <c r="AK25" s="89" t="s">
        <v>157</v>
      </c>
    </row>
    <row r="26" spans="1:37" ht="12.75">
      <c r="A26" s="308" t="s">
        <v>1</v>
      </c>
      <c r="B26" s="256"/>
      <c r="C26" s="256"/>
      <c r="D26" s="256"/>
      <c r="E26" s="256"/>
      <c r="F26" s="256"/>
      <c r="G26" s="256"/>
      <c r="H26" s="257"/>
      <c r="I26" s="156"/>
      <c r="J26" s="141">
        <v>2</v>
      </c>
      <c r="K26" s="279"/>
      <c r="L26" s="279"/>
      <c r="M26" s="279"/>
      <c r="N26" s="279"/>
      <c r="O26" s="279"/>
      <c r="P26" s="279"/>
      <c r="Q26" s="279"/>
      <c r="R26" s="280"/>
      <c r="S26" s="247"/>
      <c r="T26" s="69" t="s">
        <v>55</v>
      </c>
      <c r="U26" s="241"/>
      <c r="V26" s="242"/>
      <c r="W26" s="243"/>
      <c r="X26" s="373"/>
      <c r="Y26" s="69" t="s">
        <v>55</v>
      </c>
      <c r="Z26" s="241"/>
      <c r="AA26" s="242"/>
      <c r="AB26" s="243"/>
      <c r="AE26" s="90" t="s">
        <v>69</v>
      </c>
      <c r="AF26" s="34" t="b">
        <f>AND(AG27,AG28,AG30)</f>
        <v>0</v>
      </c>
      <c r="AG26" s="1" t="b">
        <f aca="true" t="shared" si="0" ref="AG26:AG34">OR($K$25=$AH26,$K$26=$AH26,$K$27=$AH26,$K$28=$AH26,$K$29=$AH26,$K$30=$AH26,$K$31=$AH26,$K$32=$AH26,$K$33=$AH26,$K$34=$AH26)</f>
        <v>0</v>
      </c>
      <c r="AH26" s="91" t="s">
        <v>52</v>
      </c>
      <c r="AI26" s="34" t="b">
        <f>AND(AJ27,AJ28,AJ30)</f>
        <v>0</v>
      </c>
      <c r="AJ26" s="1" t="b">
        <f aca="true" t="shared" si="1" ref="AJ26:AJ34">OR($K$25=$AH26,$K$26=$AH26,$K$27=$AH26,$K$28=$AH26,$K$29=$AH26,$K$30=$AH26,$K$31=$AH26,$K$32=$AH26,$K$33=$AH26,$K$34=$AH26)</f>
        <v>0</v>
      </c>
      <c r="AK26" s="134" t="s">
        <v>158</v>
      </c>
    </row>
    <row r="27" spans="1:37" ht="12.75" customHeight="1" thickBot="1">
      <c r="A27" s="49"/>
      <c r="B27" s="288" t="s">
        <v>26</v>
      </c>
      <c r="C27" s="288"/>
      <c r="D27" s="71">
        <v>1</v>
      </c>
      <c r="F27" s="30"/>
      <c r="G27" s="6"/>
      <c r="H27" s="33"/>
      <c r="I27" s="157"/>
      <c r="J27" s="141">
        <v>3</v>
      </c>
      <c r="K27" s="279"/>
      <c r="L27" s="279"/>
      <c r="M27" s="279"/>
      <c r="N27" s="279"/>
      <c r="O27" s="279"/>
      <c r="P27" s="279"/>
      <c r="Q27" s="279"/>
      <c r="R27" s="280"/>
      <c r="S27" s="247"/>
      <c r="T27" s="70" t="s">
        <v>56</v>
      </c>
      <c r="U27" s="295"/>
      <c r="V27" s="237"/>
      <c r="W27" s="238"/>
      <c r="X27" s="373"/>
      <c r="Y27" s="70" t="s">
        <v>56</v>
      </c>
      <c r="Z27" s="295"/>
      <c r="AA27" s="237"/>
      <c r="AB27" s="238"/>
      <c r="AE27" s="75" t="s">
        <v>70</v>
      </c>
      <c r="AF27" s="34" t="b">
        <f>AND(AG25,AG26)</f>
        <v>0</v>
      </c>
      <c r="AG27" s="1" t="b">
        <f t="shared" si="0"/>
        <v>0</v>
      </c>
      <c r="AH27" s="39" t="s">
        <v>46</v>
      </c>
      <c r="AI27" s="34" t="b">
        <f>AND(AJ25,AJ26)</f>
        <v>0</v>
      </c>
      <c r="AJ27" s="1" t="b">
        <f t="shared" si="1"/>
        <v>0</v>
      </c>
      <c r="AK27" s="89" t="s">
        <v>161</v>
      </c>
    </row>
    <row r="28" spans="1:37" ht="13.5" thickBot="1">
      <c r="A28" s="49">
        <v>1</v>
      </c>
      <c r="B28" s="35"/>
      <c r="C28" s="361" t="s">
        <v>182</v>
      </c>
      <c r="D28" s="361"/>
      <c r="E28" s="361"/>
      <c r="F28" s="361"/>
      <c r="G28" s="361"/>
      <c r="H28" s="362"/>
      <c r="I28" s="157"/>
      <c r="J28" s="141">
        <v>4</v>
      </c>
      <c r="K28" s="279"/>
      <c r="L28" s="279"/>
      <c r="M28" s="279"/>
      <c r="N28" s="279"/>
      <c r="O28" s="279"/>
      <c r="P28" s="279"/>
      <c r="Q28" s="279"/>
      <c r="R28" s="280"/>
      <c r="AE28" s="75" t="s">
        <v>71</v>
      </c>
      <c r="AF28" s="34" t="b">
        <f>AND(AG31,AG32,AG33,AG34)</f>
        <v>0</v>
      </c>
      <c r="AG28" s="1" t="b">
        <f t="shared" si="0"/>
        <v>0</v>
      </c>
      <c r="AH28" s="39" t="s">
        <v>47</v>
      </c>
      <c r="AI28" s="34" t="b">
        <f>AND(AJ31,AJ32,AJ33,AJ34)</f>
        <v>0</v>
      </c>
      <c r="AJ28" s="1" t="b">
        <f t="shared" si="1"/>
        <v>0</v>
      </c>
      <c r="AK28" s="89" t="s">
        <v>160</v>
      </c>
    </row>
    <row r="29" spans="1:37" ht="12.75">
      <c r="A29" s="49">
        <v>2</v>
      </c>
      <c r="B29" s="35"/>
      <c r="C29" s="232" t="s">
        <v>183</v>
      </c>
      <c r="D29" s="232"/>
      <c r="E29" s="232"/>
      <c r="F29" s="232"/>
      <c r="G29" s="232"/>
      <c r="H29" s="233"/>
      <c r="I29" s="157"/>
      <c r="J29" s="28">
        <v>5</v>
      </c>
      <c r="K29" s="293"/>
      <c r="L29" s="293"/>
      <c r="M29" s="293"/>
      <c r="N29" s="293"/>
      <c r="O29" s="293"/>
      <c r="P29" s="293"/>
      <c r="Q29" s="293"/>
      <c r="R29" s="294"/>
      <c r="S29" s="229"/>
      <c r="T29" s="68" t="s">
        <v>63</v>
      </c>
      <c r="U29" s="318"/>
      <c r="V29" s="253"/>
      <c r="W29" s="254"/>
      <c r="X29" s="247"/>
      <c r="Y29" s="68" t="s">
        <v>63</v>
      </c>
      <c r="Z29" s="318"/>
      <c r="AA29" s="253"/>
      <c r="AB29" s="254"/>
      <c r="AE29" s="75" t="s">
        <v>72</v>
      </c>
      <c r="AF29" s="34"/>
      <c r="AG29" s="1" t="b">
        <f t="shared" si="0"/>
        <v>0</v>
      </c>
      <c r="AH29" s="89" t="s">
        <v>156</v>
      </c>
      <c r="AI29" s="34"/>
      <c r="AJ29" s="1" t="b">
        <f t="shared" si="1"/>
        <v>0</v>
      </c>
      <c r="AK29" s="89" t="s">
        <v>155</v>
      </c>
    </row>
    <row r="30" spans="1:37" ht="12.75">
      <c r="A30" s="49">
        <f>IF($Q$8="",1,3)</f>
        <v>1</v>
      </c>
      <c r="B30" s="35"/>
      <c r="C30" s="232"/>
      <c r="D30" s="232"/>
      <c r="E30" s="232"/>
      <c r="F30" s="232"/>
      <c r="G30" s="232"/>
      <c r="H30" s="233"/>
      <c r="I30" s="157"/>
      <c r="J30" s="28">
        <v>6</v>
      </c>
      <c r="K30" s="293"/>
      <c r="L30" s="293"/>
      <c r="M30" s="293"/>
      <c r="N30" s="293"/>
      <c r="O30" s="293"/>
      <c r="P30" s="293"/>
      <c r="Q30" s="293"/>
      <c r="R30" s="294"/>
      <c r="S30" s="229"/>
      <c r="T30" s="69" t="s">
        <v>55</v>
      </c>
      <c r="U30" s="241"/>
      <c r="V30" s="242"/>
      <c r="W30" s="243"/>
      <c r="X30" s="247"/>
      <c r="Y30" s="69" t="s">
        <v>55</v>
      </c>
      <c r="Z30" s="241"/>
      <c r="AA30" s="242"/>
      <c r="AB30" s="243"/>
      <c r="AE30" s="75" t="s">
        <v>87</v>
      </c>
      <c r="AF30" s="34"/>
      <c r="AG30" s="1" t="b">
        <f t="shared" si="0"/>
        <v>0</v>
      </c>
      <c r="AH30" s="39" t="s">
        <v>48</v>
      </c>
      <c r="AI30" s="34"/>
      <c r="AJ30" s="1" t="b">
        <f t="shared" si="1"/>
        <v>0</v>
      </c>
      <c r="AK30" s="89" t="s">
        <v>159</v>
      </c>
    </row>
    <row r="31" spans="1:37" ht="13.5" thickBot="1">
      <c r="A31" s="49">
        <f>IF($Q$8="",2,4)</f>
        <v>2</v>
      </c>
      <c r="B31" s="35"/>
      <c r="C31" s="232"/>
      <c r="D31" s="232"/>
      <c r="E31" s="232"/>
      <c r="F31" s="232"/>
      <c r="G31" s="232"/>
      <c r="H31" s="233"/>
      <c r="I31" s="157"/>
      <c r="J31" s="28">
        <v>7</v>
      </c>
      <c r="K31" s="293"/>
      <c r="L31" s="293"/>
      <c r="M31" s="293"/>
      <c r="N31" s="293"/>
      <c r="O31" s="293"/>
      <c r="P31" s="293"/>
      <c r="Q31" s="293"/>
      <c r="R31" s="294"/>
      <c r="S31" s="229"/>
      <c r="T31" s="70" t="s">
        <v>56</v>
      </c>
      <c r="U31" s="236"/>
      <c r="V31" s="237"/>
      <c r="W31" s="238"/>
      <c r="X31" s="247"/>
      <c r="Y31" s="70" t="s">
        <v>56</v>
      </c>
      <c r="Z31" s="258"/>
      <c r="AA31" s="237"/>
      <c r="AB31" s="238"/>
      <c r="AE31" s="75" t="s">
        <v>74</v>
      </c>
      <c r="AF31" s="34"/>
      <c r="AG31" s="1" t="b">
        <f t="shared" si="0"/>
        <v>0</v>
      </c>
      <c r="AH31" s="89" t="str">
        <f>IF(OR(Q6=AH12,Q6=AH13),AH37,AH36)</f>
        <v>Psi-Stoß +4KS / -2AP</v>
      </c>
      <c r="AI31" s="34"/>
      <c r="AJ31" s="1" t="b">
        <f t="shared" si="1"/>
        <v>0</v>
      </c>
      <c r="AK31" s="89" t="s">
        <v>162</v>
      </c>
    </row>
    <row r="32" spans="1:37" ht="13.5" thickBot="1">
      <c r="A32" s="49">
        <f>IF($Q$8="",3,5)</f>
        <v>3</v>
      </c>
      <c r="B32" s="35"/>
      <c r="C32" s="232"/>
      <c r="D32" s="232"/>
      <c r="E32" s="232"/>
      <c r="F32" s="232"/>
      <c r="G32" s="232"/>
      <c r="H32" s="233"/>
      <c r="J32" s="28">
        <v>8</v>
      </c>
      <c r="K32" s="293"/>
      <c r="L32" s="293"/>
      <c r="M32" s="293"/>
      <c r="N32" s="293"/>
      <c r="O32" s="293"/>
      <c r="P32" s="293"/>
      <c r="Q32" s="293"/>
      <c r="R32" s="294"/>
      <c r="S32" s="82"/>
      <c r="X32" s="83"/>
      <c r="AE32" s="75" t="s">
        <v>88</v>
      </c>
      <c r="AF32" s="34"/>
      <c r="AG32" s="1" t="b">
        <f t="shared" si="0"/>
        <v>0</v>
      </c>
      <c r="AH32" s="39" t="s">
        <v>49</v>
      </c>
      <c r="AI32" s="34"/>
      <c r="AJ32" s="1" t="b">
        <f t="shared" si="1"/>
        <v>0</v>
      </c>
      <c r="AK32" s="89" t="s">
        <v>166</v>
      </c>
    </row>
    <row r="33" spans="1:37" ht="12.75">
      <c r="A33" s="49">
        <f>IF($Q$8="",4,6)</f>
        <v>4</v>
      </c>
      <c r="B33" s="35"/>
      <c r="C33" s="232"/>
      <c r="D33" s="232"/>
      <c r="E33" s="232"/>
      <c r="F33" s="232"/>
      <c r="G33" s="232"/>
      <c r="H33" s="233"/>
      <c r="J33" s="28">
        <v>9</v>
      </c>
      <c r="K33" s="293"/>
      <c r="L33" s="293"/>
      <c r="M33" s="293"/>
      <c r="N33" s="293"/>
      <c r="O33" s="293"/>
      <c r="P33" s="293"/>
      <c r="Q33" s="293"/>
      <c r="R33" s="294"/>
      <c r="S33" s="229"/>
      <c r="T33" s="68" t="s">
        <v>63</v>
      </c>
      <c r="U33" s="252"/>
      <c r="V33" s="253"/>
      <c r="W33" s="254"/>
      <c r="X33" s="369"/>
      <c r="Y33" s="68" t="s">
        <v>63</v>
      </c>
      <c r="Z33" s="252"/>
      <c r="AA33" s="253"/>
      <c r="AB33" s="254"/>
      <c r="AE33" s="75" t="s">
        <v>75</v>
      </c>
      <c r="AF33" s="34"/>
      <c r="AG33" s="1" t="b">
        <f t="shared" si="0"/>
        <v>0</v>
      </c>
      <c r="AH33" s="39" t="s">
        <v>50</v>
      </c>
      <c r="AI33" s="34"/>
      <c r="AJ33" s="1" t="b">
        <f t="shared" si="1"/>
        <v>0</v>
      </c>
      <c r="AK33" s="89" t="s">
        <v>169</v>
      </c>
    </row>
    <row r="34" spans="1:37" ht="12.75">
      <c r="A34" s="49">
        <f>IF($Q$8="",5,7)</f>
        <v>5</v>
      </c>
      <c r="B34" s="35"/>
      <c r="C34" s="232"/>
      <c r="D34" s="232"/>
      <c r="E34" s="232"/>
      <c r="F34" s="232"/>
      <c r="G34" s="232"/>
      <c r="H34" s="233"/>
      <c r="J34" s="29">
        <v>10</v>
      </c>
      <c r="K34" s="277"/>
      <c r="L34" s="277"/>
      <c r="M34" s="277"/>
      <c r="N34" s="277"/>
      <c r="O34" s="277"/>
      <c r="P34" s="277"/>
      <c r="Q34" s="277"/>
      <c r="R34" s="278"/>
      <c r="S34" s="229"/>
      <c r="T34" s="69" t="s">
        <v>55</v>
      </c>
      <c r="U34" s="241"/>
      <c r="V34" s="242"/>
      <c r="W34" s="243"/>
      <c r="X34" s="369"/>
      <c r="Y34" s="69" t="s">
        <v>55</v>
      </c>
      <c r="Z34" s="241"/>
      <c r="AA34" s="242"/>
      <c r="AB34" s="243"/>
      <c r="AE34" s="76" t="s">
        <v>76</v>
      </c>
      <c r="AF34" s="36"/>
      <c r="AG34" s="48" t="b">
        <f t="shared" si="0"/>
        <v>0</v>
      </c>
      <c r="AH34" s="40" t="s">
        <v>51</v>
      </c>
      <c r="AI34" s="36"/>
      <c r="AJ34" s="48" t="b">
        <f t="shared" si="1"/>
        <v>0</v>
      </c>
      <c r="AK34" s="135" t="s">
        <v>167</v>
      </c>
    </row>
    <row r="35" spans="1:37" ht="13.5" thickBot="1">
      <c r="A35" s="49">
        <f>IF($Q$8="",6,8)</f>
        <v>6</v>
      </c>
      <c r="B35" s="35"/>
      <c r="C35" s="232"/>
      <c r="D35" s="232"/>
      <c r="E35" s="232"/>
      <c r="F35" s="232"/>
      <c r="G35" s="232"/>
      <c r="H35" s="233"/>
      <c r="S35" s="229"/>
      <c r="T35" s="70" t="s">
        <v>56</v>
      </c>
      <c r="U35" s="236"/>
      <c r="V35" s="237"/>
      <c r="W35" s="238"/>
      <c r="X35" s="369"/>
      <c r="Y35" s="70" t="s">
        <v>56</v>
      </c>
      <c r="Z35" s="236"/>
      <c r="AA35" s="237"/>
      <c r="AB35" s="238"/>
      <c r="AC35" s="1"/>
      <c r="AK35" s="136" t="s">
        <v>168</v>
      </c>
    </row>
    <row r="36" spans="1:37" ht="13.5" thickBot="1">
      <c r="A36" s="49">
        <f>IF($Q$8="",7,9)</f>
        <v>7</v>
      </c>
      <c r="B36" s="35"/>
      <c r="C36" s="232"/>
      <c r="D36" s="232"/>
      <c r="E36" s="232"/>
      <c r="F36" s="232"/>
      <c r="G36" s="232"/>
      <c r="H36" s="233"/>
      <c r="J36" s="274" t="s">
        <v>53</v>
      </c>
      <c r="K36" s="275"/>
      <c r="L36" s="275"/>
      <c r="M36" s="275"/>
      <c r="N36" s="275"/>
      <c r="O36" s="275"/>
      <c r="P36" s="275"/>
      <c r="Q36" s="275"/>
      <c r="R36" s="276"/>
      <c r="S36" s="82"/>
      <c r="X36" s="83"/>
      <c r="AC36" s="1"/>
      <c r="AE36" s="161" t="s">
        <v>73</v>
      </c>
      <c r="AF36" s="162"/>
      <c r="AG36" s="162"/>
      <c r="AH36" s="89" t="s">
        <v>163</v>
      </c>
      <c r="AK36" s="136" t="s">
        <v>170</v>
      </c>
    </row>
    <row r="37" spans="1:34" ht="12.75">
      <c r="A37" s="51">
        <f>IF($Q$8="",8,10)</f>
        <v>8</v>
      </c>
      <c r="B37" s="37"/>
      <c r="C37" s="337"/>
      <c r="D37" s="337"/>
      <c r="E37" s="337"/>
      <c r="F37" s="337"/>
      <c r="G37" s="337"/>
      <c r="H37" s="338"/>
      <c r="J37" s="329" t="s">
        <v>21</v>
      </c>
      <c r="K37" s="330"/>
      <c r="L37" s="330"/>
      <c r="M37" s="330"/>
      <c r="N37" s="330"/>
      <c r="O37" s="330"/>
      <c r="P37" s="330"/>
      <c r="Q37" s="42">
        <v>1</v>
      </c>
      <c r="R37" s="45">
        <v>2</v>
      </c>
      <c r="S37" s="229"/>
      <c r="T37" s="68" t="s">
        <v>63</v>
      </c>
      <c r="U37" s="252"/>
      <c r="V37" s="253"/>
      <c r="W37" s="254"/>
      <c r="X37" s="247"/>
      <c r="Y37" s="68" t="s">
        <v>63</v>
      </c>
      <c r="Z37" s="252"/>
      <c r="AA37" s="253"/>
      <c r="AB37" s="254"/>
      <c r="AC37" s="1"/>
      <c r="AE37" s="138" t="s">
        <v>174</v>
      </c>
      <c r="AF37" s="160">
        <f>IF(AND($B$6=AE37,A20=""),0,IF(AND($B$6=AE37,A20="X"),2,IF(AND($B$6=AE37,A20="XX"),$AG$37,IF(AND($B$6=AE37,A20="XXX"),5,AF38))))</f>
        <v>4</v>
      </c>
      <c r="AG37" s="160">
        <f>IF(OR(Q6=AH11,Q6=AH12,Q6=AH13),4,3)</f>
        <v>3</v>
      </c>
      <c r="AH37" s="89" t="s">
        <v>164</v>
      </c>
    </row>
    <row r="38" spans="10:34" ht="12.75">
      <c r="J38" s="329" t="s">
        <v>6</v>
      </c>
      <c r="K38" s="330"/>
      <c r="L38" s="330"/>
      <c r="M38" s="330"/>
      <c r="N38" s="330"/>
      <c r="O38" s="330"/>
      <c r="P38" s="330"/>
      <c r="Q38" s="42">
        <v>1</v>
      </c>
      <c r="R38" s="45">
        <v>3</v>
      </c>
      <c r="S38" s="229"/>
      <c r="T38" s="69" t="s">
        <v>55</v>
      </c>
      <c r="U38" s="241"/>
      <c r="V38" s="242"/>
      <c r="W38" s="243"/>
      <c r="X38" s="247"/>
      <c r="Y38" s="69" t="s">
        <v>55</v>
      </c>
      <c r="Z38" s="241"/>
      <c r="AA38" s="242"/>
      <c r="AB38" s="243"/>
      <c r="AC38" s="30"/>
      <c r="AE38" s="138" t="s">
        <v>175</v>
      </c>
      <c r="AF38" s="160">
        <f>IF(AND($B$6=AE38,A21=""),0,IF(AND($B$6=AE38,A21="X"),2,IF(AND($B$6=AE38,A21="XX"),$AG$37,IF(AND($B$6=AE38,A21="XXX"),5,AF39))))</f>
        <v>4</v>
      </c>
      <c r="AH38" s="79" t="s">
        <v>165</v>
      </c>
    </row>
    <row r="39" spans="1:32" ht="13.5" thickBot="1">
      <c r="A39" s="308" t="s">
        <v>9</v>
      </c>
      <c r="B39" s="256"/>
      <c r="C39" s="256"/>
      <c r="D39" s="256"/>
      <c r="E39" s="256"/>
      <c r="F39" s="256"/>
      <c r="G39" s="256"/>
      <c r="H39" s="257"/>
      <c r="J39" s="329" t="s">
        <v>7</v>
      </c>
      <c r="K39" s="330"/>
      <c r="L39" s="330"/>
      <c r="M39" s="330"/>
      <c r="N39" s="330"/>
      <c r="O39" s="330"/>
      <c r="P39" s="330"/>
      <c r="Q39" s="42">
        <v>0</v>
      </c>
      <c r="R39" s="45">
        <v>3</v>
      </c>
      <c r="S39" s="229"/>
      <c r="T39" s="70" t="s">
        <v>56</v>
      </c>
      <c r="U39" s="236"/>
      <c r="V39" s="237"/>
      <c r="W39" s="238"/>
      <c r="X39" s="247"/>
      <c r="Y39" s="70" t="s">
        <v>56</v>
      </c>
      <c r="Z39" s="236"/>
      <c r="AA39" s="237"/>
      <c r="AB39" s="238"/>
      <c r="AC39" s="30"/>
      <c r="AE39" s="138" t="s">
        <v>176</v>
      </c>
      <c r="AF39" s="160">
        <f>IF(AND($B$6=AE39,A22=""),0,IF(AND($B$6=AE39,A22="X"),2,IF(AND($B$6=AE39,A22="XX"),$AG$37,IF(AND($B$6=AE39,A22="XXX"),5,AF40))))</f>
        <v>4</v>
      </c>
    </row>
    <row r="40" spans="1:32" ht="13.5" thickBot="1">
      <c r="A40" s="168">
        <v>1</v>
      </c>
      <c r="B40" s="172"/>
      <c r="C40" s="248"/>
      <c r="D40" s="248"/>
      <c r="E40" s="248"/>
      <c r="F40" s="249"/>
      <c r="G40" s="250"/>
      <c r="H40" s="251"/>
      <c r="J40" s="371" t="s">
        <v>8</v>
      </c>
      <c r="K40" s="372"/>
      <c r="L40" s="372"/>
      <c r="M40" s="372"/>
      <c r="N40" s="372"/>
      <c r="O40" s="372"/>
      <c r="P40" s="372"/>
      <c r="Q40" s="43">
        <v>3</v>
      </c>
      <c r="R40" s="46">
        <v>3</v>
      </c>
      <c r="S40" s="85"/>
      <c r="X40" s="83"/>
      <c r="AC40" s="30"/>
      <c r="AE40" s="138" t="s">
        <v>177</v>
      </c>
      <c r="AF40" s="160">
        <f>IF(AND($B$6=AE40,A23=""),0,IF(AND($B$6=AE40,A23="X"),2,IF(AND($B$6=AE40,A23="XX"),$AG$37,IF(AND($B$6=AE40,A23="XXX"),5,AF41))))</f>
        <v>4</v>
      </c>
    </row>
    <row r="41" spans="1:34" ht="12.75">
      <c r="A41" s="168">
        <v>2</v>
      </c>
      <c r="B41" s="169"/>
      <c r="C41" s="248"/>
      <c r="D41" s="248"/>
      <c r="E41" s="248"/>
      <c r="F41" s="249"/>
      <c r="G41" s="250"/>
      <c r="H41" s="251"/>
      <c r="S41" s="229"/>
      <c r="T41" s="68" t="s">
        <v>63</v>
      </c>
      <c r="U41" s="252"/>
      <c r="V41" s="253"/>
      <c r="W41" s="254"/>
      <c r="X41" s="247"/>
      <c r="Y41" s="68" t="s">
        <v>63</v>
      </c>
      <c r="Z41" s="252"/>
      <c r="AA41" s="253"/>
      <c r="AB41" s="254"/>
      <c r="AC41" s="30"/>
      <c r="AE41" s="139" t="s">
        <v>10</v>
      </c>
      <c r="AF41" s="160">
        <f>IF(AND($B$6=AE41,A24=""),0,IF(AND($B$6=AE41,A24="X"),2,IF(AND($B$6=AE41,A24="XX"),$AG$37,IF(AND($B$6=AE41,A24="XXX"),5,AF42))))</f>
        <v>4</v>
      </c>
      <c r="AH41" t="s">
        <v>30</v>
      </c>
    </row>
    <row r="42" spans="1:34" ht="12.75">
      <c r="A42" s="168">
        <f>IF($Q$8="",1,3)</f>
        <v>1</v>
      </c>
      <c r="B42" s="169"/>
      <c r="C42" s="248"/>
      <c r="D42" s="248"/>
      <c r="E42" s="248"/>
      <c r="F42" s="249"/>
      <c r="G42" s="250"/>
      <c r="H42" s="251"/>
      <c r="J42" s="271" t="s">
        <v>153</v>
      </c>
      <c r="K42" s="272"/>
      <c r="L42" s="272"/>
      <c r="M42" s="272"/>
      <c r="N42" s="272"/>
      <c r="O42" s="272"/>
      <c r="P42" s="272"/>
      <c r="Q42" s="272"/>
      <c r="R42" s="273"/>
      <c r="S42" s="229"/>
      <c r="T42" s="69" t="s">
        <v>55</v>
      </c>
      <c r="U42" s="241"/>
      <c r="V42" s="242"/>
      <c r="W42" s="243"/>
      <c r="X42" s="247"/>
      <c r="Y42" s="69" t="s">
        <v>55</v>
      </c>
      <c r="Z42" s="241"/>
      <c r="AA42" s="242"/>
      <c r="AB42" s="243"/>
      <c r="AC42" s="30"/>
      <c r="AE42" s="120" t="s">
        <v>13</v>
      </c>
      <c r="AF42" s="160">
        <f>IF(AND($B$6=AE42,F20=""),0,IF(AND($B$6=AE42,F20="X"),2,IF(AND($B$6=AE42,F20="XX"),$AG$37,IF(AND($B$6=AE42,F20="XXX"),5,AF43))))</f>
        <v>4</v>
      </c>
      <c r="AH42" s="110" t="s">
        <v>171</v>
      </c>
    </row>
    <row r="43" spans="1:34" ht="13.5" thickBot="1">
      <c r="A43" s="168">
        <f>IF($Q$8="",2,4)</f>
        <v>2</v>
      </c>
      <c r="B43" s="169"/>
      <c r="C43" s="248"/>
      <c r="D43" s="248"/>
      <c r="E43" s="248"/>
      <c r="F43" s="249"/>
      <c r="G43" s="250"/>
      <c r="H43" s="251"/>
      <c r="J43" s="28">
        <v>1</v>
      </c>
      <c r="K43" s="234"/>
      <c r="L43" s="234"/>
      <c r="M43" s="234"/>
      <c r="N43" s="234"/>
      <c r="O43" s="234"/>
      <c r="P43" s="234"/>
      <c r="Q43" s="234"/>
      <c r="R43" s="235"/>
      <c r="S43" s="229"/>
      <c r="T43" s="70" t="s">
        <v>56</v>
      </c>
      <c r="U43" s="236"/>
      <c r="V43" s="237"/>
      <c r="W43" s="238"/>
      <c r="X43" s="247"/>
      <c r="Y43" s="70" t="s">
        <v>56</v>
      </c>
      <c r="Z43" s="236"/>
      <c r="AA43" s="237"/>
      <c r="AB43" s="238"/>
      <c r="AC43" s="30"/>
      <c r="AE43" s="120" t="s">
        <v>90</v>
      </c>
      <c r="AF43" s="160">
        <f>IF(AND($B$6=AE43,F21=""),0,IF(AND($B$6=AE43,F21="X"),2,IF(AND($B$6=AE43,F21="XX"),$AG$37,IF(AND($B$6=AE43,F21="XXX"),5,AF44))))</f>
        <v>4</v>
      </c>
      <c r="AH43" t="s">
        <v>97</v>
      </c>
    </row>
    <row r="44" spans="1:34" ht="13.5" thickBot="1">
      <c r="A44" s="168">
        <f>IF($Q$8="",3,5)</f>
        <v>3</v>
      </c>
      <c r="B44" s="169"/>
      <c r="C44" s="248"/>
      <c r="D44" s="248"/>
      <c r="E44" s="248"/>
      <c r="F44" s="249"/>
      <c r="G44" s="250"/>
      <c r="H44" s="251"/>
      <c r="J44" s="28">
        <v>2</v>
      </c>
      <c r="K44" s="279"/>
      <c r="L44" s="279"/>
      <c r="M44" s="279"/>
      <c r="N44" s="279"/>
      <c r="O44" s="279"/>
      <c r="P44" s="279"/>
      <c r="Q44" s="279"/>
      <c r="R44" s="280"/>
      <c r="S44" s="84"/>
      <c r="X44" s="83"/>
      <c r="AC44" s="30"/>
      <c r="AE44" t="s">
        <v>11</v>
      </c>
      <c r="AF44" s="160">
        <f>IF(AND($B$6=AE44,F22=""),0,IF(AND($B$6=AE44,F22="X"),2,IF(AND($B$6=AE44,F22="XX"),$AG$37,IF(AND($B$6=AE44,F22="XXX"),5,AF45))))</f>
        <v>4</v>
      </c>
      <c r="AH44" s="110" t="s">
        <v>152</v>
      </c>
    </row>
    <row r="45" spans="1:32" ht="12.75">
      <c r="A45" s="168">
        <f>IF($Q$8="",4,6)</f>
        <v>4</v>
      </c>
      <c r="B45" s="169"/>
      <c r="C45" s="248"/>
      <c r="D45" s="248"/>
      <c r="E45" s="248"/>
      <c r="F45" s="249"/>
      <c r="G45" s="250"/>
      <c r="H45" s="251"/>
      <c r="J45" s="28">
        <v>3</v>
      </c>
      <c r="K45" s="279"/>
      <c r="L45" s="279"/>
      <c r="M45" s="279"/>
      <c r="N45" s="279"/>
      <c r="O45" s="279"/>
      <c r="P45" s="279"/>
      <c r="Q45" s="279"/>
      <c r="R45" s="280"/>
      <c r="S45" s="229"/>
      <c r="T45" s="68" t="s">
        <v>63</v>
      </c>
      <c r="U45" s="252"/>
      <c r="V45" s="253"/>
      <c r="W45" s="254"/>
      <c r="X45" s="247"/>
      <c r="Y45" s="68" t="s">
        <v>63</v>
      </c>
      <c r="Z45" s="252"/>
      <c r="AA45" s="253"/>
      <c r="AB45" s="254"/>
      <c r="AC45" s="30"/>
      <c r="AE45" s="120" t="s">
        <v>12</v>
      </c>
      <c r="AF45" s="160">
        <f>IF(AND($B$6=AE45,F23=""),0,IF(AND($B$6=AE45,F23="X"),2,IF(AND($B$6=AE45,F23="XX"),$AG$37,IF(AND($B$6=AE45,F23="XXX"),5,AF46))))</f>
        <v>4</v>
      </c>
    </row>
    <row r="46" spans="1:32" ht="13.5" thickBot="1">
      <c r="A46" s="168">
        <f>IF($Q$8="",5,7)</f>
        <v>5</v>
      </c>
      <c r="B46" s="169"/>
      <c r="C46" s="248"/>
      <c r="D46" s="248"/>
      <c r="E46" s="248"/>
      <c r="F46" s="249"/>
      <c r="G46" s="250"/>
      <c r="H46" s="251"/>
      <c r="I46" s="144"/>
      <c r="J46" s="28">
        <v>4</v>
      </c>
      <c r="K46" s="279"/>
      <c r="L46" s="279"/>
      <c r="M46" s="279"/>
      <c r="N46" s="279"/>
      <c r="O46" s="279"/>
      <c r="P46" s="279"/>
      <c r="Q46" s="279"/>
      <c r="R46" s="280"/>
      <c r="S46" s="229"/>
      <c r="T46" s="69" t="s">
        <v>55</v>
      </c>
      <c r="U46" s="241"/>
      <c r="V46" s="242"/>
      <c r="W46" s="243"/>
      <c r="X46" s="247"/>
      <c r="Y46" s="69" t="s">
        <v>55</v>
      </c>
      <c r="Z46" s="241"/>
      <c r="AA46" s="242"/>
      <c r="AB46" s="243"/>
      <c r="AC46" s="30"/>
      <c r="AE46" s="121" t="s">
        <v>14</v>
      </c>
      <c r="AF46" s="160">
        <f>IF(AND($B$6=AE46,F24=""),0,IF(AND($B$6=AE46,F24="X"),2,IF(AND($B$6=AE46,F24="XX"),$AG$37,IF(AND($B$6=AE46,F24="XXX"),5,AF37))))</f>
        <v>4</v>
      </c>
    </row>
    <row r="47" spans="1:29" ht="13.5" customHeight="1" thickBot="1">
      <c r="A47" s="168">
        <f>IF($Q$8="",6,8)</f>
        <v>6</v>
      </c>
      <c r="B47" s="169"/>
      <c r="C47" s="248"/>
      <c r="D47" s="248"/>
      <c r="E47" s="248"/>
      <c r="F47" s="249"/>
      <c r="G47" s="250"/>
      <c r="H47" s="251"/>
      <c r="I47" s="145"/>
      <c r="J47" s="28">
        <v>5</v>
      </c>
      <c r="K47" s="293"/>
      <c r="L47" s="293"/>
      <c r="M47" s="293"/>
      <c r="N47" s="293"/>
      <c r="O47" s="293"/>
      <c r="P47" s="293"/>
      <c r="Q47" s="293"/>
      <c r="R47" s="294"/>
      <c r="S47" s="229"/>
      <c r="T47" s="70" t="s">
        <v>56</v>
      </c>
      <c r="U47" s="236"/>
      <c r="V47" s="237"/>
      <c r="W47" s="238"/>
      <c r="X47" s="247"/>
      <c r="Y47" s="70" t="s">
        <v>56</v>
      </c>
      <c r="Z47" s="236"/>
      <c r="AA47" s="237"/>
      <c r="AB47" s="238"/>
      <c r="AC47" s="30"/>
    </row>
    <row r="48" spans="1:29" ht="13.5" customHeight="1" thickBot="1">
      <c r="A48" s="168">
        <f>IF($Q$8="",7,9)</f>
        <v>7</v>
      </c>
      <c r="B48" s="169"/>
      <c r="C48" s="248"/>
      <c r="D48" s="248"/>
      <c r="E48" s="248"/>
      <c r="F48" s="249"/>
      <c r="G48" s="250"/>
      <c r="H48" s="251"/>
      <c r="I48" s="145"/>
      <c r="J48" s="28">
        <v>6</v>
      </c>
      <c r="K48" s="293"/>
      <c r="L48" s="293"/>
      <c r="M48" s="293"/>
      <c r="N48" s="293"/>
      <c r="O48" s="293"/>
      <c r="P48" s="293"/>
      <c r="Q48" s="293"/>
      <c r="R48" s="294"/>
      <c r="S48" s="84"/>
      <c r="X48" s="83"/>
      <c r="AC48" s="30"/>
    </row>
    <row r="49" spans="1:28" ht="12.75" customHeight="1">
      <c r="A49" s="168">
        <f>IF($Q$8="",8,10)</f>
        <v>8</v>
      </c>
      <c r="B49" s="169"/>
      <c r="C49" s="248"/>
      <c r="D49" s="248"/>
      <c r="E49" s="248"/>
      <c r="F49" s="249"/>
      <c r="G49" s="250"/>
      <c r="H49" s="251"/>
      <c r="J49" s="28">
        <v>7</v>
      </c>
      <c r="K49" s="293"/>
      <c r="L49" s="293"/>
      <c r="M49" s="293"/>
      <c r="N49" s="293"/>
      <c r="O49" s="293"/>
      <c r="P49" s="293"/>
      <c r="Q49" s="293"/>
      <c r="R49" s="294"/>
      <c r="S49" s="229"/>
      <c r="T49" s="68" t="s">
        <v>63</v>
      </c>
      <c r="U49" s="252"/>
      <c r="V49" s="253"/>
      <c r="W49" s="254"/>
      <c r="X49" s="247"/>
      <c r="Y49" s="68" t="s">
        <v>63</v>
      </c>
      <c r="Z49" s="252"/>
      <c r="AA49" s="253"/>
      <c r="AB49" s="254"/>
    </row>
    <row r="50" spans="1:28" ht="12.75" customHeight="1">
      <c r="A50" s="168">
        <v>11</v>
      </c>
      <c r="B50" s="169"/>
      <c r="C50" s="248"/>
      <c r="D50" s="248"/>
      <c r="E50" s="248"/>
      <c r="F50" s="249"/>
      <c r="G50" s="250"/>
      <c r="H50" s="251"/>
      <c r="J50" s="28">
        <v>8</v>
      </c>
      <c r="K50" s="293"/>
      <c r="L50" s="293"/>
      <c r="M50" s="293"/>
      <c r="N50" s="293"/>
      <c r="O50" s="293"/>
      <c r="P50" s="293"/>
      <c r="Q50" s="293"/>
      <c r="R50" s="294"/>
      <c r="S50" s="229"/>
      <c r="T50" s="69" t="s">
        <v>55</v>
      </c>
      <c r="U50" s="241"/>
      <c r="V50" s="242"/>
      <c r="W50" s="243"/>
      <c r="X50" s="247"/>
      <c r="Y50" s="69" t="s">
        <v>55</v>
      </c>
      <c r="Z50" s="241"/>
      <c r="AA50" s="242"/>
      <c r="AB50" s="243"/>
    </row>
    <row r="51" spans="1:28" ht="13.5" customHeight="1" thickBot="1">
      <c r="A51" s="173">
        <v>12</v>
      </c>
      <c r="B51" s="174"/>
      <c r="C51" s="300"/>
      <c r="D51" s="300"/>
      <c r="E51" s="301"/>
      <c r="F51" s="358"/>
      <c r="G51" s="359"/>
      <c r="H51" s="360"/>
      <c r="J51" s="28">
        <v>9</v>
      </c>
      <c r="K51" s="293"/>
      <c r="L51" s="293"/>
      <c r="M51" s="293"/>
      <c r="N51" s="293"/>
      <c r="O51" s="293"/>
      <c r="P51" s="293"/>
      <c r="Q51" s="293"/>
      <c r="R51" s="294"/>
      <c r="S51" s="229"/>
      <c r="T51" s="70" t="s">
        <v>56</v>
      </c>
      <c r="U51" s="236"/>
      <c r="V51" s="237"/>
      <c r="W51" s="238"/>
      <c r="X51" s="247"/>
      <c r="Y51" s="70" t="s">
        <v>56</v>
      </c>
      <c r="Z51" s="236"/>
      <c r="AA51" s="237"/>
      <c r="AB51" s="238"/>
    </row>
    <row r="52" spans="1:24" ht="13.5" customHeight="1" thickBot="1">
      <c r="A52" s="168">
        <v>13</v>
      </c>
      <c r="B52" s="169"/>
      <c r="C52" s="248"/>
      <c r="D52" s="248"/>
      <c r="E52" s="248"/>
      <c r="F52" s="249"/>
      <c r="G52" s="250"/>
      <c r="H52" s="251"/>
      <c r="J52" s="28">
        <v>10</v>
      </c>
      <c r="K52" s="293"/>
      <c r="L52" s="293"/>
      <c r="M52" s="293"/>
      <c r="N52" s="293"/>
      <c r="O52" s="293"/>
      <c r="P52" s="293"/>
      <c r="Q52" s="293"/>
      <c r="R52" s="294"/>
      <c r="S52" s="85"/>
      <c r="X52" s="83"/>
    </row>
    <row r="53" spans="1:28" ht="12.75">
      <c r="A53" s="168">
        <v>14</v>
      </c>
      <c r="B53" s="169"/>
      <c r="C53" s="248"/>
      <c r="D53" s="248"/>
      <c r="E53" s="248"/>
      <c r="F53" s="249"/>
      <c r="G53" s="250"/>
      <c r="H53" s="251"/>
      <c r="J53" s="28">
        <v>11</v>
      </c>
      <c r="K53" s="234"/>
      <c r="L53" s="234"/>
      <c r="M53" s="234"/>
      <c r="N53" s="234"/>
      <c r="O53" s="234"/>
      <c r="P53" s="234"/>
      <c r="Q53" s="234"/>
      <c r="R53" s="235"/>
      <c r="S53" s="229"/>
      <c r="T53" s="68" t="s">
        <v>63</v>
      </c>
      <c r="U53" s="252"/>
      <c r="V53" s="253"/>
      <c r="W53" s="254"/>
      <c r="X53" s="247"/>
      <c r="Y53" s="68" t="s">
        <v>63</v>
      </c>
      <c r="Z53" s="252"/>
      <c r="AA53" s="253"/>
      <c r="AB53" s="254"/>
    </row>
    <row r="54" spans="1:28" ht="12.75">
      <c r="A54" s="170">
        <v>15</v>
      </c>
      <c r="B54" s="171"/>
      <c r="C54" s="367"/>
      <c r="D54" s="367"/>
      <c r="E54" s="367"/>
      <c r="F54" s="313"/>
      <c r="G54" s="314"/>
      <c r="H54" s="315"/>
      <c r="J54" s="29">
        <v>12</v>
      </c>
      <c r="K54" s="347"/>
      <c r="L54" s="347"/>
      <c r="M54" s="347"/>
      <c r="N54" s="347"/>
      <c r="O54" s="347"/>
      <c r="P54" s="347"/>
      <c r="Q54" s="347"/>
      <c r="R54" s="348"/>
      <c r="S54" s="229"/>
      <c r="T54" s="69" t="s">
        <v>55</v>
      </c>
      <c r="U54" s="241"/>
      <c r="V54" s="242"/>
      <c r="W54" s="243"/>
      <c r="X54" s="247"/>
      <c r="Y54" s="69" t="s">
        <v>55</v>
      </c>
      <c r="Z54" s="241"/>
      <c r="AA54" s="242"/>
      <c r="AB54" s="243"/>
    </row>
    <row r="55" spans="1:28" ht="13.5" thickBot="1">
      <c r="A55" s="1"/>
      <c r="B55" s="1"/>
      <c r="C55" s="1"/>
      <c r="D55" s="1"/>
      <c r="E55" s="1"/>
      <c r="F55" s="1"/>
      <c r="G55" s="1"/>
      <c r="H55" s="1"/>
      <c r="S55" s="229"/>
      <c r="T55" s="70" t="s">
        <v>56</v>
      </c>
      <c r="U55" s="236"/>
      <c r="V55" s="237"/>
      <c r="W55" s="238"/>
      <c r="X55" s="247"/>
      <c r="Y55" s="70" t="s">
        <v>56</v>
      </c>
      <c r="Z55" s="236"/>
      <c r="AA55" s="237"/>
      <c r="AB55" s="238"/>
    </row>
    <row r="56" spans="1:18" ht="12.75">
      <c r="A56" s="311" t="s">
        <v>93</v>
      </c>
      <c r="B56" s="312"/>
      <c r="C56" s="312"/>
      <c r="D56" s="312"/>
      <c r="E56" s="370"/>
      <c r="F56" s="370"/>
      <c r="G56" s="177"/>
      <c r="H56" s="179"/>
      <c r="J56" s="308" t="s">
        <v>91</v>
      </c>
      <c r="K56" s="256"/>
      <c r="L56" s="256"/>
      <c r="M56" s="256"/>
      <c r="N56" s="256"/>
      <c r="O56" s="256"/>
      <c r="P56" s="256"/>
      <c r="Q56" s="256"/>
      <c r="R56" s="257"/>
    </row>
    <row r="57" spans="1:19" ht="12.75">
      <c r="A57" s="180"/>
      <c r="B57" s="178"/>
      <c r="C57" s="178"/>
      <c r="D57" s="178"/>
      <c r="E57" s="1"/>
      <c r="F57" s="1"/>
      <c r="G57" s="1"/>
      <c r="H57" s="39"/>
      <c r="J57" s="339"/>
      <c r="K57" s="340"/>
      <c r="L57" s="340"/>
      <c r="M57" s="340"/>
      <c r="N57" s="341"/>
      <c r="O57" s="342">
        <f>N58+R58+J57</f>
        <v>0</v>
      </c>
      <c r="P57" s="343"/>
      <c r="Q57" s="343"/>
      <c r="R57" s="344"/>
      <c r="S57" s="53"/>
    </row>
    <row r="58" spans="1:18" ht="12.75" customHeight="1">
      <c r="A58" s="316" t="s">
        <v>173</v>
      </c>
      <c r="B58" s="317"/>
      <c r="C58" s="317"/>
      <c r="D58" s="317"/>
      <c r="E58" s="368"/>
      <c r="F58" s="368"/>
      <c r="G58" s="165"/>
      <c r="H58" s="181"/>
      <c r="J58" s="244">
        <v>0</v>
      </c>
      <c r="K58" s="245"/>
      <c r="L58" s="245"/>
      <c r="M58" s="246"/>
      <c r="N58" s="182">
        <f>J58/4</f>
        <v>0</v>
      </c>
      <c r="O58" s="302">
        <v>0</v>
      </c>
      <c r="P58" s="303"/>
      <c r="Q58" s="303"/>
      <c r="R58" s="183">
        <f>O58/10</f>
        <v>0</v>
      </c>
    </row>
    <row r="59" spans="1:35" ht="12.75" customHeight="1">
      <c r="A59" s="226" t="s">
        <v>172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 t="s">
        <v>184</v>
      </c>
      <c r="T59" s="226"/>
      <c r="U59" s="226"/>
      <c r="V59" s="226"/>
      <c r="W59" s="226"/>
      <c r="X59" s="226"/>
      <c r="Y59" s="226"/>
      <c r="Z59" s="226"/>
      <c r="AA59" s="226"/>
      <c r="AB59" s="226"/>
      <c r="AC59" s="112"/>
      <c r="AE59" s="112"/>
      <c r="AF59" s="112"/>
      <c r="AG59" s="112"/>
      <c r="AH59" s="112"/>
      <c r="AI59" s="112"/>
    </row>
    <row r="60" spans="1:35" ht="12.7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112"/>
      <c r="AE60" s="112"/>
      <c r="AF60" s="112"/>
      <c r="AG60" s="112"/>
      <c r="AH60" s="112"/>
      <c r="AI60" s="112"/>
    </row>
    <row r="61" spans="1:12" ht="15" customHeight="1">
      <c r="A61" s="23"/>
      <c r="B61" s="23"/>
      <c r="C61" s="79"/>
      <c r="D61" s="79"/>
      <c r="E61" s="79"/>
      <c r="F61" s="105"/>
      <c r="G61" s="105"/>
      <c r="H61" s="105"/>
      <c r="I61" s="79"/>
      <c r="J61" s="106"/>
      <c r="K61" s="106"/>
      <c r="L61" s="79"/>
    </row>
    <row r="62" spans="1:41" ht="12.75" customHeight="1">
      <c r="A62" s="263" t="s">
        <v>19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5"/>
      <c r="T62" s="205" t="str">
        <f>CONCATENATE(AO62," ",IF(AO63="","","&amp;")," ",AO63)</f>
        <v>  </v>
      </c>
      <c r="U62" s="206"/>
      <c r="V62" s="207"/>
      <c r="W62" s="204" t="str">
        <f>IF(T62="","",CONCATENATE(AC62," ",AI62))</f>
        <v> </v>
      </c>
      <c r="X62" s="204"/>
      <c r="Y62" s="204"/>
      <c r="Z62" s="204"/>
      <c r="AA62" s="204"/>
      <c r="AB62" s="204"/>
      <c r="AC62" s="223">
        <f>IF($Q$6=AH7,CONCATENATE("1.) ",'Magnakai Zusatz'!C3,'Magnakai Zusatz'!C4),IF($Q$6=AH8,CONCATENATE("1.) ",'Magnakai Zusatz'!C3,'Magnakai Zusatz'!C4),IF($Q$6=AH9,CONCATENATE("1.) ",'Magnakai Zusatz'!C3,'Magnakai Zusatz'!C4," 2.) ",'Magnakai Zusatz'!L3),IF($Q$6=AH10,CONCATENATE("1.) ",'Magnakai Zusatz'!C3,'Magnakai Zusatz'!C4," 2.) ",'Magnakai Zusatz'!L3),IF($Q$6=AH11,CONCATENATE("1.) ",'Magnakai Zusatz'!C3,'Magnakai Zusatz'!C4," 2.) ",'Magnakai Zusatz'!L3),IF($Q$6=AH12,CONCATENATE("1.) ",'Magnakai Zusatz'!C3,'Magnakai Zusatz'!C4," 2.) ",'Magnakai Zusatz'!L3," 3.) ",'Magnakai Zusatz'!L16),IF($Q$6=AH13,CONCATENATE("1.) ",'Magnakai Zusatz'!C3,'Magnakai Zusatz'!C4," 2.) ",'Magnakai Zusatz'!L3," 3.) ",'Magnakai Zusatz'!L16),"")))))))</f>
      </c>
      <c r="AD62" s="223"/>
      <c r="AE62" s="223"/>
      <c r="AF62" s="223"/>
      <c r="AG62" s="223"/>
      <c r="AH62" s="223"/>
      <c r="AI62" s="214">
        <f>IF($Q$8=$AI$8,CONCATENATE("4.) ",'Großmeister Zusatz'!C3),IF($Q$8=$AI$9,CONCATENATE("4.) ",'Großmeister Zusatz'!C3),IF($Q$8=$AI$10,CONCATENATE("4.) ",'Großmeister Zusatz'!C3),IF($Q$8=$AI$11,CONCATENATE("4.) ",'Großmeister Zusatz'!C3),IF($Q$8=$AI$12,CONCATENATE("4.) ",'Großmeister Zusatz'!C3),IF($Q$8=$AI$13,CONCATENATE("4.) ",'Großmeister Zusatz'!C3),AI64))))))</f>
      </c>
      <c r="AJ62" s="215"/>
      <c r="AK62" s="215"/>
      <c r="AL62" s="215"/>
      <c r="AM62" s="215"/>
      <c r="AN62" s="216"/>
      <c r="AO62" s="193">
        <f>IF(OR($K$25=AH25,$K$26=AH25,$K$27=AH25,$K$28=AH25,$K$29=AH25,$K$30=AH25,$K$31=AH25,$K$32=AH25,$K$33=AH25,$K$34=AH25),"Tierkontrolle","")</f>
      </c>
    </row>
    <row r="63" spans="1:41" ht="12.75" customHeight="1">
      <c r="A63" s="327"/>
      <c r="B63" s="304"/>
      <c r="C63" s="304"/>
      <c r="D63" s="304"/>
      <c r="E63" s="304"/>
      <c r="F63" s="304"/>
      <c r="G63" s="304"/>
      <c r="H63" s="305"/>
      <c r="I63" s="102"/>
      <c r="J63" s="297"/>
      <c r="K63" s="298"/>
      <c r="L63" s="298"/>
      <c r="M63" s="298"/>
      <c r="N63" s="298"/>
      <c r="O63" s="298"/>
      <c r="P63" s="298"/>
      <c r="Q63" s="298"/>
      <c r="R63" s="299"/>
      <c r="T63" s="208"/>
      <c r="U63" s="209"/>
      <c r="V63" s="210"/>
      <c r="W63" s="204"/>
      <c r="X63" s="204"/>
      <c r="Y63" s="204"/>
      <c r="Z63" s="204"/>
      <c r="AA63" s="204"/>
      <c r="AB63" s="204"/>
      <c r="AC63" s="223"/>
      <c r="AD63" s="223"/>
      <c r="AE63" s="223"/>
      <c r="AF63" s="223"/>
      <c r="AG63" s="223"/>
      <c r="AH63" s="223"/>
      <c r="AI63" s="217"/>
      <c r="AJ63" s="218"/>
      <c r="AK63" s="218"/>
      <c r="AL63" s="218"/>
      <c r="AM63" s="218"/>
      <c r="AN63" s="219"/>
      <c r="AO63" s="193">
        <f>IF(OR($K$43=AK25,$K$44=AK25,$K$45=AK25,$K$46=AK25,$K$47=AK25,$K$48=AK25,$K$49=AK25,$K$50=AK25,$K$51=AK25,$K$52=AK25,$K$53=AK25,$K$54=AK25),"Tierbeherschung","")</f>
      </c>
    </row>
    <row r="64" spans="1:40" ht="12.75" customHeight="1">
      <c r="A64" s="297"/>
      <c r="B64" s="298"/>
      <c r="C64" s="304"/>
      <c r="D64" s="304"/>
      <c r="E64" s="304"/>
      <c r="F64" s="304"/>
      <c r="G64" s="304"/>
      <c r="H64" s="305"/>
      <c r="I64" s="101"/>
      <c r="J64" s="297"/>
      <c r="K64" s="298"/>
      <c r="L64" s="298"/>
      <c r="M64" s="298"/>
      <c r="N64" s="298"/>
      <c r="O64" s="298"/>
      <c r="P64" s="298"/>
      <c r="Q64" s="298"/>
      <c r="R64" s="299"/>
      <c r="T64" s="208"/>
      <c r="U64" s="209"/>
      <c r="V64" s="210"/>
      <c r="W64" s="204"/>
      <c r="X64" s="204"/>
      <c r="Y64" s="204"/>
      <c r="Z64" s="204"/>
      <c r="AA64" s="204"/>
      <c r="AB64" s="204"/>
      <c r="AC64" s="223"/>
      <c r="AD64" s="223"/>
      <c r="AE64" s="223"/>
      <c r="AF64" s="223"/>
      <c r="AG64" s="223"/>
      <c r="AH64" s="223"/>
      <c r="AI64" s="217">
        <f>IF($Q$8=$AI$14,CONCATENATE("4.) ",'Großmeister Zusatz'!C3),IF($Q$8=$AI$15,CONCATENATE("4.) ",'Großmeister Zusatz'!C3),""))</f>
      </c>
      <c r="AJ64" s="218"/>
      <c r="AK64" s="218"/>
      <c r="AL64" s="218"/>
      <c r="AM64" s="218"/>
      <c r="AN64" s="219"/>
    </row>
    <row r="65" spans="1:40" ht="12.75" customHeight="1">
      <c r="A65" s="199"/>
      <c r="B65" s="200"/>
      <c r="C65" s="202"/>
      <c r="D65" s="202"/>
      <c r="E65" s="202"/>
      <c r="F65" s="202"/>
      <c r="G65" s="202"/>
      <c r="H65" s="203"/>
      <c r="I65" s="101"/>
      <c r="J65" s="199"/>
      <c r="K65" s="200"/>
      <c r="L65" s="200"/>
      <c r="M65" s="200"/>
      <c r="N65" s="200"/>
      <c r="O65" s="200"/>
      <c r="P65" s="200"/>
      <c r="Q65" s="200"/>
      <c r="R65" s="201"/>
      <c r="T65" s="208"/>
      <c r="U65" s="209"/>
      <c r="V65" s="210"/>
      <c r="W65" s="204"/>
      <c r="X65" s="204"/>
      <c r="Y65" s="204"/>
      <c r="Z65" s="204"/>
      <c r="AA65" s="204"/>
      <c r="AB65" s="204"/>
      <c r="AC65" s="223"/>
      <c r="AD65" s="223"/>
      <c r="AE65" s="223"/>
      <c r="AF65" s="223"/>
      <c r="AG65" s="223"/>
      <c r="AH65" s="223"/>
      <c r="AI65" s="217"/>
      <c r="AJ65" s="218"/>
      <c r="AK65" s="218"/>
      <c r="AL65" s="218"/>
      <c r="AM65" s="218"/>
      <c r="AN65" s="219"/>
    </row>
    <row r="66" spans="1:40" ht="12.75" customHeight="1">
      <c r="A66" s="327"/>
      <c r="B66" s="304"/>
      <c r="C66" s="304"/>
      <c r="D66" s="304"/>
      <c r="E66" s="304"/>
      <c r="F66" s="304"/>
      <c r="G66" s="304"/>
      <c r="H66" s="305"/>
      <c r="I66" s="101"/>
      <c r="J66" s="297"/>
      <c r="K66" s="298"/>
      <c r="L66" s="298"/>
      <c r="M66" s="298"/>
      <c r="N66" s="298"/>
      <c r="O66" s="298"/>
      <c r="P66" s="298"/>
      <c r="Q66" s="298"/>
      <c r="R66" s="299"/>
      <c r="T66" s="211"/>
      <c r="U66" s="212"/>
      <c r="V66" s="213"/>
      <c r="W66" s="204"/>
      <c r="X66" s="204"/>
      <c r="Y66" s="204"/>
      <c r="Z66" s="204"/>
      <c r="AA66" s="204"/>
      <c r="AB66" s="204"/>
      <c r="AC66" s="223"/>
      <c r="AD66" s="223"/>
      <c r="AE66" s="223"/>
      <c r="AF66" s="223"/>
      <c r="AG66" s="223"/>
      <c r="AH66" s="223"/>
      <c r="AI66" s="220"/>
      <c r="AJ66" s="221"/>
      <c r="AK66" s="221"/>
      <c r="AL66" s="221"/>
      <c r="AM66" s="221"/>
      <c r="AN66" s="222"/>
    </row>
    <row r="67" spans="1:49" ht="12.75" customHeight="1">
      <c r="A67" s="327"/>
      <c r="B67" s="304"/>
      <c r="C67" s="304"/>
      <c r="D67" s="304"/>
      <c r="E67" s="304"/>
      <c r="F67" s="304"/>
      <c r="G67" s="304"/>
      <c r="H67" s="305"/>
      <c r="I67" s="101"/>
      <c r="J67" s="297"/>
      <c r="K67" s="298"/>
      <c r="L67" s="298"/>
      <c r="M67" s="298"/>
      <c r="N67" s="298"/>
      <c r="O67" s="298"/>
      <c r="P67" s="298"/>
      <c r="Q67" s="298"/>
      <c r="R67" s="299"/>
      <c r="T67" s="205" t="str">
        <f>CONCATENATE(AO67," ",IF(AO68="","","&amp;")," ",AO68)</f>
        <v>  </v>
      </c>
      <c r="U67" s="206"/>
      <c r="V67" s="207"/>
      <c r="W67" s="204" t="str">
        <f>IF(T67="","",CONCATENATE(AC67," ",AI67))</f>
        <v> </v>
      </c>
      <c r="X67" s="204"/>
      <c r="Y67" s="204"/>
      <c r="Z67" s="204"/>
      <c r="AA67" s="204"/>
      <c r="AB67" s="204"/>
      <c r="AC67" s="376">
        <f>IF($Q$6=AH7,CONCATENATE("1.) ",'Magnakai Zusatz'!C6),IF($Q$6=AH8,CONCATENATE("1.) ",'Magnakai Zusatz'!C6),IF($Q$6=AH9,CONCATENATE("1.) ",'Magnakai Zusatz'!C6),IF($Q$6=AH10,CONCATENATE("1.) ",'Magnakai Zusatz'!C6," 2.) ",'Magnakai Zusatz'!C18),IF($Q$6=AH11,CONCATENATE("1.) ",'Magnakai Zusatz'!C6," 2.) ",'Magnakai Zusatz'!C18),IF($Q$6=AH12,CONCATENATE("1.) ",'Magnakai Zusatz'!C6," 2.) ",'Magnakai Zusatz'!C18," 3.) ",'Magnakai Zusatz'!L18),IF($Q$6=AH13,CONCATENATE("1.) ",'Magnakai Zusatz'!C6," 2.) ",'Magnakai Zusatz'!C18," 3.) ",'Magnakai Zusatz'!L18),"")))))))</f>
      </c>
      <c r="AD67" s="223"/>
      <c r="AE67" s="223"/>
      <c r="AF67" s="223"/>
      <c r="AG67" s="223"/>
      <c r="AH67" s="223"/>
      <c r="AI67" s="214">
        <f>IF($Q$8=$AI$9,CONCATENATE("4.) ",'Großmeister Zusatz'!G5),IF($Q$8=$AI$10,CONCATENATE("4.) ",'Großmeister Zusatz'!G5),IF($Q$8=$AI$11,CONCATENATE("4.) ",'Großmeister Zusatz'!G5),IF($Q$8=$AI$12,CONCATENATE("4.) ",'Großmeister Zusatz'!G5),IF($Q$8=$AI$13,CONCATENATE("4.) ",'Großmeister Zusatz'!G5),AI69)))))</f>
      </c>
      <c r="AJ67" s="215"/>
      <c r="AK67" s="215"/>
      <c r="AL67" s="215"/>
      <c r="AM67" s="215"/>
      <c r="AN67" s="216"/>
      <c r="AO67" s="190">
        <f>IF(OR($K$25=AH26,$K$26=AH26,$K$27=AH26,$K$28=AH26,$K$29=AH26,$K$30=AH26,$K$31=AH26,$K$32=AH26,$K$33=AH26,$K$34=AH26),"Heilung","")</f>
      </c>
      <c r="AP67" s="191"/>
      <c r="AQ67" s="192"/>
      <c r="AR67" s="214">
        <f>IF($Q$8=$AI$8,'Großmeister Zusatz'!A3,IF($Q$8=$AI$9,'Großmeister Zusatz'!A3,IF($Q$8=$AI$10,'Großmeister Zusatz'!A3,IF($Q$8=$AI$11,'Großmeister Zusatz'!A3,IF($Q$8=$AI$12,'Großmeister Zusatz'!A3,IF($Q$8=$AI$13,'Großmeister Zusatz'!A3,IF($Q$8=$AI$14,'Großmeister Zusatz'!A3,IF($Q$8=$AI$15,'Großmeister Zusatz'!A3,AR69))))))))</f>
      </c>
      <c r="AS67" s="215"/>
      <c r="AT67" s="215"/>
      <c r="AU67" s="215"/>
      <c r="AV67" s="215"/>
      <c r="AW67" s="216"/>
    </row>
    <row r="68" spans="1:49" ht="12.75" customHeight="1">
      <c r="A68" s="297"/>
      <c r="B68" s="298"/>
      <c r="C68" s="304"/>
      <c r="D68" s="304"/>
      <c r="E68" s="304"/>
      <c r="F68" s="304"/>
      <c r="G68" s="304"/>
      <c r="H68" s="305"/>
      <c r="I68" s="101"/>
      <c r="J68" s="297"/>
      <c r="K68" s="298"/>
      <c r="L68" s="298"/>
      <c r="M68" s="298"/>
      <c r="N68" s="298"/>
      <c r="O68" s="298"/>
      <c r="P68" s="298"/>
      <c r="Q68" s="298"/>
      <c r="R68" s="299"/>
      <c r="T68" s="208"/>
      <c r="U68" s="209"/>
      <c r="V68" s="210"/>
      <c r="W68" s="204"/>
      <c r="X68" s="204"/>
      <c r="Y68" s="204"/>
      <c r="Z68" s="204"/>
      <c r="AA68" s="204"/>
      <c r="AB68" s="204"/>
      <c r="AC68" s="223"/>
      <c r="AD68" s="223"/>
      <c r="AE68" s="223"/>
      <c r="AF68" s="223"/>
      <c r="AG68" s="223"/>
      <c r="AH68" s="223"/>
      <c r="AI68" s="217"/>
      <c r="AJ68" s="218"/>
      <c r="AK68" s="218"/>
      <c r="AL68" s="218"/>
      <c r="AM68" s="218"/>
      <c r="AN68" s="219"/>
      <c r="AO68" s="193">
        <f>IF(OR($K$43=AK26,$K$44=AK26,$K$45=AK26,$K$46=AK26,$K$47=AK26,$K$48=AK26,$K$49=AK26,$K$50=AK26,$K$51=AK26,$K$52=AK26,$K$53=AK26,$K$54=AK26),"Erlösung","")</f>
      </c>
      <c r="AP68" s="194"/>
      <c r="AQ68" s="195"/>
      <c r="AR68" s="217"/>
      <c r="AS68" s="218"/>
      <c r="AT68" s="218"/>
      <c r="AU68" s="218"/>
      <c r="AV68" s="218"/>
      <c r="AW68" s="219"/>
    </row>
    <row r="69" spans="1:49" ht="12.75" customHeight="1">
      <c r="A69" s="297"/>
      <c r="B69" s="298"/>
      <c r="C69" s="304"/>
      <c r="D69" s="304"/>
      <c r="E69" s="304"/>
      <c r="F69" s="304"/>
      <c r="G69" s="304"/>
      <c r="H69" s="305"/>
      <c r="I69" s="101"/>
      <c r="J69" s="297"/>
      <c r="K69" s="298"/>
      <c r="L69" s="298"/>
      <c r="M69" s="298"/>
      <c r="N69" s="298"/>
      <c r="O69" s="298"/>
      <c r="P69" s="298"/>
      <c r="Q69" s="298"/>
      <c r="R69" s="299"/>
      <c r="T69" s="208"/>
      <c r="U69" s="209"/>
      <c r="V69" s="210"/>
      <c r="W69" s="204"/>
      <c r="X69" s="204"/>
      <c r="Y69" s="204"/>
      <c r="Z69" s="204"/>
      <c r="AA69" s="204"/>
      <c r="AB69" s="204"/>
      <c r="AC69" s="223"/>
      <c r="AD69" s="223"/>
      <c r="AE69" s="223"/>
      <c r="AF69" s="223"/>
      <c r="AG69" s="223"/>
      <c r="AH69" s="223"/>
      <c r="AI69" s="217">
        <f>IF($Q$8=$AI$14,CONCATENATE("4.) ",'Großmeister Zusatz'!G5),IF($Q$8=$AI$15,CONCATENATE("4.) ",'Großmeister Zusatz'!G5),""))</f>
      </c>
      <c r="AJ69" s="218"/>
      <c r="AK69" s="218"/>
      <c r="AL69" s="218"/>
      <c r="AM69" s="218"/>
      <c r="AN69" s="219"/>
      <c r="AO69" s="193"/>
      <c r="AP69" s="194"/>
      <c r="AQ69" s="195"/>
      <c r="AR69" s="217">
        <f>IF(Q6=AH12,"Altmeisterheilung: 20AP bei &lt;7 AP alle 100T",IF(Q6=AH13,"Altmeisterheilung: 20AP bei &lt;7 AP alle 100T",""))</f>
      </c>
      <c r="AS69" s="218"/>
      <c r="AT69" s="218"/>
      <c r="AU69" s="218"/>
      <c r="AV69" s="218"/>
      <c r="AW69" s="219"/>
    </row>
    <row r="70" spans="1:49" ht="12.75" customHeight="1">
      <c r="A70" s="199"/>
      <c r="B70" s="200"/>
      <c r="C70" s="202"/>
      <c r="D70" s="202"/>
      <c r="E70" s="202"/>
      <c r="F70" s="202"/>
      <c r="G70" s="202"/>
      <c r="H70" s="203"/>
      <c r="I70" s="101"/>
      <c r="J70" s="199"/>
      <c r="K70" s="200"/>
      <c r="L70" s="200"/>
      <c r="M70" s="200"/>
      <c r="N70" s="200"/>
      <c r="O70" s="200"/>
      <c r="P70" s="200"/>
      <c r="Q70" s="200"/>
      <c r="R70" s="201"/>
      <c r="T70" s="208"/>
      <c r="U70" s="209"/>
      <c r="V70" s="210"/>
      <c r="W70" s="204"/>
      <c r="X70" s="204"/>
      <c r="Y70" s="204"/>
      <c r="Z70" s="204"/>
      <c r="AA70" s="204"/>
      <c r="AB70" s="204"/>
      <c r="AC70" s="223"/>
      <c r="AD70" s="223"/>
      <c r="AE70" s="223"/>
      <c r="AF70" s="223"/>
      <c r="AG70" s="223"/>
      <c r="AH70" s="223"/>
      <c r="AI70" s="217"/>
      <c r="AJ70" s="218"/>
      <c r="AK70" s="218"/>
      <c r="AL70" s="218"/>
      <c r="AM70" s="218"/>
      <c r="AN70" s="219"/>
      <c r="AO70" s="193"/>
      <c r="AP70" s="194"/>
      <c r="AQ70" s="195"/>
      <c r="AR70" s="217"/>
      <c r="AS70" s="218"/>
      <c r="AT70" s="218"/>
      <c r="AU70" s="218"/>
      <c r="AV70" s="218"/>
      <c r="AW70" s="219"/>
    </row>
    <row r="71" spans="1:49" ht="12.75" customHeight="1">
      <c r="A71" s="297"/>
      <c r="B71" s="298"/>
      <c r="C71" s="304"/>
      <c r="D71" s="304"/>
      <c r="E71" s="304"/>
      <c r="F71" s="304"/>
      <c r="G71" s="304"/>
      <c r="H71" s="305"/>
      <c r="I71" s="101"/>
      <c r="J71" s="297"/>
      <c r="K71" s="298"/>
      <c r="L71" s="298"/>
      <c r="M71" s="298"/>
      <c r="N71" s="298"/>
      <c r="O71" s="298"/>
      <c r="P71" s="298"/>
      <c r="Q71" s="298"/>
      <c r="R71" s="299"/>
      <c r="T71" s="211"/>
      <c r="U71" s="212"/>
      <c r="V71" s="213"/>
      <c r="W71" s="204"/>
      <c r="X71" s="204"/>
      <c r="Y71" s="204"/>
      <c r="Z71" s="204"/>
      <c r="AA71" s="204"/>
      <c r="AB71" s="204"/>
      <c r="AC71" s="223"/>
      <c r="AD71" s="223"/>
      <c r="AE71" s="223"/>
      <c r="AF71" s="223"/>
      <c r="AG71" s="223"/>
      <c r="AH71" s="223"/>
      <c r="AI71" s="220"/>
      <c r="AJ71" s="221"/>
      <c r="AK71" s="221"/>
      <c r="AL71" s="221"/>
      <c r="AM71" s="221"/>
      <c r="AN71" s="222"/>
      <c r="AO71" s="196"/>
      <c r="AP71" s="197"/>
      <c r="AQ71" s="198"/>
      <c r="AR71" s="220"/>
      <c r="AS71" s="221"/>
      <c r="AT71" s="221"/>
      <c r="AU71" s="221"/>
      <c r="AV71" s="221"/>
      <c r="AW71" s="222"/>
    </row>
    <row r="72" spans="1:49" ht="12.75" customHeight="1">
      <c r="A72" s="327"/>
      <c r="B72" s="304"/>
      <c r="C72" s="304"/>
      <c r="D72" s="304"/>
      <c r="E72" s="304"/>
      <c r="F72" s="304"/>
      <c r="G72" s="304"/>
      <c r="H72" s="305"/>
      <c r="I72" s="101"/>
      <c r="J72" s="297"/>
      <c r="K72" s="298"/>
      <c r="L72" s="298"/>
      <c r="M72" s="298"/>
      <c r="N72" s="298"/>
      <c r="O72" s="298"/>
      <c r="P72" s="298"/>
      <c r="Q72" s="298"/>
      <c r="R72" s="299"/>
      <c r="T72" s="205" t="str">
        <f>CONCATENATE(AO72," ",IF(AO73="","","&amp;")," ",AO73)</f>
        <v>  </v>
      </c>
      <c r="U72" s="206"/>
      <c r="V72" s="207"/>
      <c r="W72" s="204" t="str">
        <f>IF(T72="","",CONCATENATE(AC72," ",AI72))</f>
        <v> </v>
      </c>
      <c r="X72" s="204"/>
      <c r="Y72" s="204"/>
      <c r="Z72" s="204"/>
      <c r="AA72" s="204"/>
      <c r="AB72" s="204"/>
      <c r="AC72" s="223">
        <f>IF($Q$6=AH7,CONCATENATE("1.) ",'Magnakai Zusatz'!C8),IF($Q$6=AH8,CONCATENATE("1.) ",'Magnakai Zusatz'!C8),IF($Q$6=AH9,CONCATENATE("1.) ",'Magnakai Zusatz'!C8," 2.) ",'Magnakai Zusatz'!L7),IF($Q$6=AH10,CONCATENATE("1.) ",'Magnakai Zusatz'!C8," 2.) ",'Magnakai Zusatz'!L7),IF($Q$6=AH11,CONCATENATE("1.) ",'Magnakai Zusatz'!C8," 2.) ",'Magnakai Zusatz'!L7),IF($Q$6=AH12,CONCATENATE("1.) ",'Magnakai Zusatz'!C8," 2.) ",'Magnakai Zusatz'!L7," 3.) ",'Magnakai Zusatz'!L20),IF($Q$6=AH13,CONCATENATE("1.) ",'Magnakai Zusatz'!C8," 2.) ",'Magnakai Zusatz'!L7," 3.) ",'Magnakai Zusatz'!L20),"")))))))</f>
      </c>
      <c r="AD72" s="223"/>
      <c r="AE72" s="223"/>
      <c r="AF72" s="223"/>
      <c r="AG72" s="223"/>
      <c r="AH72" s="223"/>
      <c r="AI72" s="214">
        <f>IF($Q$8=$AI$8,CONCATENATE("4.) ",'Großmeister Zusatz'!C7),IF($Q$8=$AI$9,CONCATENATE("4.) ",'Großmeister Zusatz'!C7),IF($Q$8=$AI$10,CONCATENATE("4.) ",'Großmeister Zusatz'!C7),IF($Q$8=$AI$11,CONCATENATE("4.) ",'Großmeister Zusatz'!C7),IF($Q$8=$AI$12,CONCATENATE("4.) ",'Großmeister Zusatz'!C7),IF($Q$8=$AI$13,CONCATENATE("4.) ",'Großmeister Zusatz'!C7),AI74))))))</f>
      </c>
      <c r="AJ72" s="215"/>
      <c r="AK72" s="215"/>
      <c r="AL72" s="215"/>
      <c r="AM72" s="215"/>
      <c r="AN72" s="216"/>
      <c r="AO72" s="190">
        <f>IF(OR($K$25=AH27,$K$26=AH27,$K$27=AH27,$K$28=AH27,$K$29=AH27,$K$30=AH27,$K$31=AH27,$K$32=AH27,$K$33=AH27,$K$34=AH27),"Jagdmeisterschaft","")</f>
      </c>
      <c r="AP72" s="191"/>
      <c r="AQ72" s="192"/>
      <c r="AR72" s="377">
        <f>IF(K43=AK26,AR67,IF(K44=AK26,AR67,IF(K45=AK26,AR67,IF(K46=AK26,AR67,IF(K47=AK26,AR67,IF(K48=AK26,AR67,IF(K49=AK26,AR67,IF(K50=AK26,AR67,AR75))))))))</f>
      </c>
      <c r="AS72" s="378"/>
      <c r="AT72" s="378"/>
      <c r="AU72" s="378"/>
      <c r="AV72" s="378"/>
      <c r="AW72" s="379"/>
    </row>
    <row r="73" spans="1:49" ht="12.75" customHeight="1">
      <c r="A73" s="350" t="s">
        <v>92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2"/>
      <c r="T73" s="208"/>
      <c r="U73" s="209"/>
      <c r="V73" s="210"/>
      <c r="W73" s="204"/>
      <c r="X73" s="204"/>
      <c r="Y73" s="204"/>
      <c r="Z73" s="204"/>
      <c r="AA73" s="204"/>
      <c r="AB73" s="204"/>
      <c r="AC73" s="223"/>
      <c r="AD73" s="223"/>
      <c r="AE73" s="223"/>
      <c r="AF73" s="223"/>
      <c r="AG73" s="223"/>
      <c r="AH73" s="223"/>
      <c r="AI73" s="217"/>
      <c r="AJ73" s="218"/>
      <c r="AK73" s="218"/>
      <c r="AL73" s="218"/>
      <c r="AM73" s="218"/>
      <c r="AN73" s="219"/>
      <c r="AO73" s="193">
        <f>IF(OR($K$43=AK27,$K$44=AK27,$K$45=AK27,$K$46=AK27,$K$47=AK27,$K$48=AK27,$K$49=AK27,$K$50=AK27,$K$51=AK27,$K$52=AK27,$K$53=AK27,$K$54=AK27),"Groß-Jagdmeisterschaft","")</f>
      </c>
      <c r="AP73" s="194"/>
      <c r="AQ73" s="195"/>
      <c r="AR73" s="380"/>
      <c r="AS73" s="381"/>
      <c r="AT73" s="381"/>
      <c r="AU73" s="381"/>
      <c r="AV73" s="381"/>
      <c r="AW73" s="382"/>
    </row>
    <row r="74" spans="1:49" ht="12.75" customHeight="1">
      <c r="A74" s="363"/>
      <c r="B74" s="364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8"/>
      <c r="T74" s="208"/>
      <c r="U74" s="209"/>
      <c r="V74" s="210"/>
      <c r="W74" s="204"/>
      <c r="X74" s="204"/>
      <c r="Y74" s="204"/>
      <c r="Z74" s="204"/>
      <c r="AA74" s="204"/>
      <c r="AB74" s="204"/>
      <c r="AC74" s="223"/>
      <c r="AD74" s="223"/>
      <c r="AE74" s="223"/>
      <c r="AF74" s="223"/>
      <c r="AG74" s="223"/>
      <c r="AH74" s="223"/>
      <c r="AI74" s="217">
        <f>IF($Q$8=$AI$14,CONCATENATE("4.) ",'Großmeister Zusatz'!C7),IF($Q$8=$AI$15,CONCATENATE("4.) ",'Großmeister Zusatz'!C7),""))</f>
      </c>
      <c r="AJ74" s="218"/>
      <c r="AK74" s="218"/>
      <c r="AL74" s="218"/>
      <c r="AM74" s="218"/>
      <c r="AN74" s="219"/>
      <c r="AO74" s="193"/>
      <c r="AP74" s="194"/>
      <c r="AQ74" s="195"/>
      <c r="AR74" s="383"/>
      <c r="AS74" s="383"/>
      <c r="AT74" s="383"/>
      <c r="AU74" s="383"/>
      <c r="AV74" s="383"/>
      <c r="AW74" s="383"/>
    </row>
    <row r="75" spans="1:49" ht="12.75" customHeight="1">
      <c r="A75" s="266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8"/>
      <c r="T75" s="208"/>
      <c r="U75" s="209"/>
      <c r="V75" s="210"/>
      <c r="W75" s="204"/>
      <c r="X75" s="204"/>
      <c r="Y75" s="204"/>
      <c r="Z75" s="204"/>
      <c r="AA75" s="204"/>
      <c r="AB75" s="204"/>
      <c r="AC75" s="223"/>
      <c r="AD75" s="223"/>
      <c r="AE75" s="223"/>
      <c r="AF75" s="223"/>
      <c r="AG75" s="223"/>
      <c r="AH75" s="223"/>
      <c r="AI75" s="217"/>
      <c r="AJ75" s="218"/>
      <c r="AK75" s="218"/>
      <c r="AL75" s="218"/>
      <c r="AM75" s="218"/>
      <c r="AN75" s="219"/>
      <c r="AO75" s="193"/>
      <c r="AP75" s="194"/>
      <c r="AQ75" s="195"/>
      <c r="AR75" s="377">
        <f>IF(K51=AK26,AR67,IF(K52=AK26,AR67,IF(K53=AK26,AR67,IF(K54=AK26,AR67,AR69))))</f>
      </c>
      <c r="AS75" s="378"/>
      <c r="AT75" s="378"/>
      <c r="AU75" s="378"/>
      <c r="AV75" s="378"/>
      <c r="AW75" s="379"/>
    </row>
    <row r="76" spans="1:49" ht="12.75" customHeight="1">
      <c r="A76" s="266"/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8"/>
      <c r="T76" s="211"/>
      <c r="U76" s="212"/>
      <c r="V76" s="213"/>
      <c r="W76" s="204"/>
      <c r="X76" s="204"/>
      <c r="Y76" s="204"/>
      <c r="Z76" s="204"/>
      <c r="AA76" s="204"/>
      <c r="AB76" s="204"/>
      <c r="AC76" s="223"/>
      <c r="AD76" s="223"/>
      <c r="AE76" s="223"/>
      <c r="AF76" s="223"/>
      <c r="AG76" s="223"/>
      <c r="AH76" s="223"/>
      <c r="AI76" s="220"/>
      <c r="AJ76" s="221"/>
      <c r="AK76" s="221"/>
      <c r="AL76" s="221"/>
      <c r="AM76" s="221"/>
      <c r="AN76" s="222"/>
      <c r="AO76" s="196"/>
      <c r="AP76" s="197"/>
      <c r="AQ76" s="198"/>
      <c r="AR76" s="380"/>
      <c r="AS76" s="381"/>
      <c r="AT76" s="381"/>
      <c r="AU76" s="381"/>
      <c r="AV76" s="381"/>
      <c r="AW76" s="382"/>
    </row>
    <row r="77" spans="1:43" ht="12.75" customHeight="1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5"/>
      <c r="T77" s="205" t="str">
        <f>CONCATENATE(AO77," ",IF(AO78="","","&amp;")," ",AO78)</f>
        <v>  </v>
      </c>
      <c r="U77" s="206"/>
      <c r="V77" s="207"/>
      <c r="W77" s="204" t="str">
        <f>IF(T77="","",CONCATENATE(AC77," ",AI77))</f>
        <v> </v>
      </c>
      <c r="X77" s="204"/>
      <c r="Y77" s="204"/>
      <c r="Z77" s="204"/>
      <c r="AA77" s="204"/>
      <c r="AB77" s="204"/>
      <c r="AC77" s="223">
        <f>IF($Q$6=AH7,CONCATENATE("1.) ",'Magnakai Zusatz'!C10),IF($Q$6=AH8,CONCATENATE("1.) ",'Magnakai Zusatz'!C10),IF($Q$6=AH9,CONCATENATE("1.) ",'Magnakai Zusatz'!C10," 2.) ",'Magnakai Zusatz'!L9),IF($Q$6=AH10,CONCATENATE("1.) ",'Magnakai Zusatz'!C10," 2.) ",'Magnakai Zusatz'!L9),IF($Q$6=AH11,CONCATENATE("1.) ",'Magnakai Zusatz'!C10," 2.) ",'Magnakai Zusatz'!L9),IF($Q$6=AH12,CONCATENATE("1.) ",'Magnakai Zusatz'!C10," 2.) ",'Magnakai Zusatz'!L9," 3.) ",'Magnakai Zusatz'!L22," &amp; ",'Magnakai Zusatz'!L23),IF($Q$6=AH13,CONCATENATE("1.) ",'Magnakai Zusatz'!C10," 2.) ",'Magnakai Zusatz'!L9," 3.) ",'Magnakai Zusatz'!L22," &amp; ",'Magnakai Zusatz'!L23),"")))))))</f>
      </c>
      <c r="AD77" s="223"/>
      <c r="AE77" s="223"/>
      <c r="AF77" s="223"/>
      <c r="AG77" s="223"/>
      <c r="AH77" s="223"/>
      <c r="AI77" s="214">
        <f>IF($Q$8=$AI$8,CONCATENATE("4.) ",'Großmeister Zusatz'!C9),IF($Q$8=$AI$9,CONCATENATE("4.) ",'Großmeister Zusatz'!C9),IF($Q$8=$AI$10,CONCATENATE("4.) ",'Großmeister Zusatz'!C9),IF($Q$8=$AI$11,CONCATENATE("4.) ",'Großmeister Zusatz'!C9),IF($Q$8=$AI$12,CONCATENATE("4.) ",'Großmeister Zusatz'!C9),IF($Q$8=$AI$13,CONCATENATE("4.) ",'Großmeister Zusatz'!C9),AI79))))))</f>
      </c>
      <c r="AJ77" s="215"/>
      <c r="AK77" s="215"/>
      <c r="AL77" s="215"/>
      <c r="AM77" s="215"/>
      <c r="AN77" s="216"/>
      <c r="AO77" s="190">
        <f>IF(OR($K$25=AH31,$K$26=AH31,$K$27=AH31,$K$28=AH31,$K$29=AH31,$K$30=AH31,$K$31=AH31,$K$32=AH31,$K$33=AH31,$K$34=AH31),"Psi-Stoß","")</f>
      </c>
      <c r="AP77" s="191"/>
      <c r="AQ77" s="192"/>
    </row>
    <row r="78" spans="1:43" ht="12.75" customHeight="1">
      <c r="A78" s="266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8"/>
      <c r="T78" s="208"/>
      <c r="U78" s="209"/>
      <c r="V78" s="210"/>
      <c r="W78" s="204"/>
      <c r="X78" s="204"/>
      <c r="Y78" s="204"/>
      <c r="Z78" s="204"/>
      <c r="AA78" s="204"/>
      <c r="AB78" s="204"/>
      <c r="AC78" s="223"/>
      <c r="AD78" s="223"/>
      <c r="AE78" s="223"/>
      <c r="AF78" s="223"/>
      <c r="AG78" s="223"/>
      <c r="AH78" s="223"/>
      <c r="AI78" s="217"/>
      <c r="AJ78" s="218"/>
      <c r="AK78" s="218"/>
      <c r="AL78" s="218"/>
      <c r="AM78" s="218"/>
      <c r="AN78" s="219"/>
      <c r="AO78" s="193">
        <f>IF(OR($K$43=AK31,$K$44=AK31,$K$45=AK31,$K$46=AK31,$K$47=AK31,$K$48=AK31,$K$49=AK31,$K$50=AK31,$K$51=AK31,$K$52=AK31,$K$53=AK31,$K$54=AK31),"Kai-Stoß","")</f>
      </c>
      <c r="AP78" s="194"/>
      <c r="AQ78" s="195"/>
    </row>
    <row r="79" spans="1:43" ht="12.75" customHeight="1">
      <c r="A79" s="266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8"/>
      <c r="T79" s="208"/>
      <c r="U79" s="209"/>
      <c r="V79" s="210"/>
      <c r="W79" s="204"/>
      <c r="X79" s="204"/>
      <c r="Y79" s="204"/>
      <c r="Z79" s="204"/>
      <c r="AA79" s="204"/>
      <c r="AB79" s="204"/>
      <c r="AC79" s="223"/>
      <c r="AD79" s="223"/>
      <c r="AE79" s="223"/>
      <c r="AF79" s="223"/>
      <c r="AG79" s="223"/>
      <c r="AH79" s="223"/>
      <c r="AI79" s="217">
        <f>IF($Q$8=$AI$14,CONCATENATE("4.) ",'Großmeister Zusatz'!C9),IF($Q$8=$AI$15,CONCATENATE("4.) ",'Großmeister Zusatz'!C9),""))</f>
      </c>
      <c r="AJ79" s="218"/>
      <c r="AK79" s="218"/>
      <c r="AL79" s="218"/>
      <c r="AM79" s="218"/>
      <c r="AN79" s="219"/>
      <c r="AO79" s="193"/>
      <c r="AP79" s="194"/>
      <c r="AQ79" s="195"/>
    </row>
    <row r="80" spans="1:43" ht="12.75" customHeight="1">
      <c r="A80" s="153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5"/>
      <c r="T80" s="208"/>
      <c r="U80" s="209"/>
      <c r="V80" s="210"/>
      <c r="W80" s="204"/>
      <c r="X80" s="204"/>
      <c r="Y80" s="204"/>
      <c r="Z80" s="204"/>
      <c r="AA80" s="204"/>
      <c r="AB80" s="204"/>
      <c r="AC80" s="223"/>
      <c r="AD80" s="223"/>
      <c r="AE80" s="223"/>
      <c r="AF80" s="223"/>
      <c r="AG80" s="223"/>
      <c r="AH80" s="223"/>
      <c r="AI80" s="217"/>
      <c r="AJ80" s="218"/>
      <c r="AK80" s="218"/>
      <c r="AL80" s="218"/>
      <c r="AM80" s="218"/>
      <c r="AN80" s="219"/>
      <c r="AO80" s="193"/>
      <c r="AP80" s="194"/>
      <c r="AQ80" s="195"/>
    </row>
    <row r="81" spans="1:43" ht="12.75" customHeight="1">
      <c r="A81" s="266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8"/>
      <c r="T81" s="211"/>
      <c r="U81" s="212"/>
      <c r="V81" s="213"/>
      <c r="W81" s="204"/>
      <c r="X81" s="204"/>
      <c r="Y81" s="204"/>
      <c r="Z81" s="204"/>
      <c r="AA81" s="204"/>
      <c r="AB81" s="204"/>
      <c r="AC81" s="223"/>
      <c r="AD81" s="223"/>
      <c r="AE81" s="223"/>
      <c r="AF81" s="223"/>
      <c r="AG81" s="223"/>
      <c r="AH81" s="223"/>
      <c r="AI81" s="220"/>
      <c r="AJ81" s="221"/>
      <c r="AK81" s="221"/>
      <c r="AL81" s="221"/>
      <c r="AM81" s="221"/>
      <c r="AN81" s="222"/>
      <c r="AO81" s="196"/>
      <c r="AP81" s="197"/>
      <c r="AQ81" s="198"/>
    </row>
    <row r="82" spans="1:43" ht="12.75" customHeight="1">
      <c r="A82" s="266"/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8"/>
      <c r="T82" s="205" t="str">
        <f>CONCATENATE(AO82," ",IF(AO83="","","&amp;")," ",AO83)</f>
        <v>  </v>
      </c>
      <c r="U82" s="206"/>
      <c r="V82" s="207"/>
      <c r="W82" s="204" t="str">
        <f>IF(T82="","",CONCATENATE(AC82," ",AI82))</f>
        <v> </v>
      </c>
      <c r="X82" s="204"/>
      <c r="Y82" s="204"/>
      <c r="Z82" s="204"/>
      <c r="AA82" s="204"/>
      <c r="AB82" s="204"/>
      <c r="AC82" s="223">
        <f>IF($Q$6=AH7,CONCATENATE("1.) ",'Magnakai Zusatz'!C12),IF($Q$6=AH8,CONCATENATE("1.) ",'Magnakai Zusatz'!C12),IF($Q$6=AH9,CONCATENATE("1.) ",'Magnakai Zusatz'!C12," 2.) ",'Magnakai Zusatz'!L11),IF($Q$6=AH10,CONCATENATE("1.) ",'Magnakai Zusatz'!C12," 2.) ",'Magnakai Zusatz'!L11),IF($Q$6=AH11,CONCATENATE("1.) ",'Magnakai Zusatz'!C12," 2.) ",'Magnakai Zusatz'!L11),IF($Q$6=AH12,CONCATENATE("1.) ",'Magnakai Zusatz'!C12," 2.) ",'Magnakai Zusatz'!L11," 3.) ",'Magnakai Zusatz'!L25," &amp; ",'Magnakai Zusatz'!L26),IF($Q$6=AH13,CONCATENATE("1.) ",'Magnakai Zusatz'!C12," 2.) ",'Magnakai Zusatz'!L11," 3.) ",'Magnakai Zusatz'!L25," &amp; ",'Magnakai Zusatz'!L26),"")))))))</f>
      </c>
      <c r="AD82" s="223"/>
      <c r="AE82" s="223"/>
      <c r="AF82" s="223"/>
      <c r="AG82" s="223"/>
      <c r="AH82" s="223"/>
      <c r="AI82" s="214">
        <f>IF($Q$8=$AI$9,CONCATENATE("4.) ",'Großmeister Zusatz'!G9),IF($Q$8=$AI$10,CONCATENATE("4.) ",'Großmeister Zusatz'!G9),IF($Q$8=$AI$11,CONCATENATE("4.) ",'Großmeister Zusatz'!G9),IF($Q$8=$AI$12,CONCATENATE("4.) ",'Großmeister Zusatz'!G9),IF($Q$8=$AI$13,CONCATENATE("4.) ",'Großmeister Zusatz'!G9),AI84)))))</f>
      </c>
      <c r="AJ82" s="215"/>
      <c r="AK82" s="215"/>
      <c r="AL82" s="215"/>
      <c r="AM82" s="215"/>
      <c r="AN82" s="216"/>
      <c r="AO82" s="190">
        <f>IF(OR($K$25=AH33,$K$26=AH26,$K$27=AH33,$K$28=AH33,$K$29=AH33,$K$30=AH33,$K$31=AH33,$K$32=AH33,$K$33=AH33,$K$34=AH33),"Nexus","")</f>
      </c>
      <c r="AP82" s="191"/>
      <c r="AQ82" s="192"/>
    </row>
    <row r="83" spans="1:43" ht="12.75" customHeight="1">
      <c r="A83" s="266"/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8"/>
      <c r="T83" s="208"/>
      <c r="U83" s="209"/>
      <c r="V83" s="210"/>
      <c r="W83" s="204"/>
      <c r="X83" s="204"/>
      <c r="Y83" s="204"/>
      <c r="Z83" s="204"/>
      <c r="AA83" s="204"/>
      <c r="AB83" s="204"/>
      <c r="AC83" s="223"/>
      <c r="AD83" s="223"/>
      <c r="AE83" s="223"/>
      <c r="AF83" s="223"/>
      <c r="AG83" s="223"/>
      <c r="AH83" s="223"/>
      <c r="AI83" s="217"/>
      <c r="AJ83" s="218"/>
      <c r="AK83" s="218"/>
      <c r="AL83" s="218"/>
      <c r="AM83" s="218"/>
      <c r="AN83" s="219"/>
      <c r="AO83" s="193">
        <f>IF(OR($K$43=AK33,$K$44=AK33,$K$45=AK33,$K$46=AK33,$K$47=AK33,$K$48=AK33,$K$49=AK33,$K$50=AK33,$K$51=AK33,$K$52=AK33,$K$53=AK33,$K$54=AK33),"Groß-Nexus","")</f>
      </c>
      <c r="AP83" s="194"/>
      <c r="AQ83" s="195"/>
    </row>
    <row r="84" spans="1:43" ht="12.75" customHeight="1">
      <c r="A84" s="266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8"/>
      <c r="T84" s="208"/>
      <c r="U84" s="209"/>
      <c r="V84" s="210"/>
      <c r="W84" s="204"/>
      <c r="X84" s="204"/>
      <c r="Y84" s="204"/>
      <c r="Z84" s="204"/>
      <c r="AA84" s="204"/>
      <c r="AB84" s="204"/>
      <c r="AC84" s="223"/>
      <c r="AD84" s="223"/>
      <c r="AE84" s="223"/>
      <c r="AF84" s="223"/>
      <c r="AG84" s="223"/>
      <c r="AH84" s="223"/>
      <c r="AI84" s="217">
        <f>IF($Q$8=$AI$14,CONCATENATE("4.) ",'Großmeister Zusatz'!G9),IF($Q$8=$AI$15,CONCATENATE("4.) ",'Großmeister Zusatz'!G9),""))</f>
      </c>
      <c r="AJ84" s="218"/>
      <c r="AK84" s="218"/>
      <c r="AL84" s="218"/>
      <c r="AM84" s="218"/>
      <c r="AN84" s="219"/>
      <c r="AO84" s="193"/>
      <c r="AP84" s="194"/>
      <c r="AQ84" s="195"/>
    </row>
    <row r="85" spans="1:43" ht="12.75" customHeight="1">
      <c r="A85" s="15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5"/>
      <c r="T85" s="208"/>
      <c r="U85" s="209"/>
      <c r="V85" s="210"/>
      <c r="W85" s="204"/>
      <c r="X85" s="204"/>
      <c r="Y85" s="204"/>
      <c r="Z85" s="204"/>
      <c r="AA85" s="204"/>
      <c r="AB85" s="204"/>
      <c r="AC85" s="223"/>
      <c r="AD85" s="223"/>
      <c r="AE85" s="223"/>
      <c r="AF85" s="223"/>
      <c r="AG85" s="223"/>
      <c r="AH85" s="223"/>
      <c r="AI85" s="217"/>
      <c r="AJ85" s="218"/>
      <c r="AK85" s="218"/>
      <c r="AL85" s="218"/>
      <c r="AM85" s="218"/>
      <c r="AN85" s="219"/>
      <c r="AO85" s="193"/>
      <c r="AP85" s="194"/>
      <c r="AQ85" s="195"/>
    </row>
    <row r="86" spans="1:43" ht="12.75" customHeight="1">
      <c r="A86" s="266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8"/>
      <c r="T86" s="211"/>
      <c r="U86" s="212"/>
      <c r="V86" s="213"/>
      <c r="W86" s="204"/>
      <c r="X86" s="204"/>
      <c r="Y86" s="204"/>
      <c r="Z86" s="204"/>
      <c r="AA86" s="204"/>
      <c r="AB86" s="204"/>
      <c r="AC86" s="223"/>
      <c r="AD86" s="223"/>
      <c r="AE86" s="223"/>
      <c r="AF86" s="223"/>
      <c r="AG86" s="223"/>
      <c r="AH86" s="223"/>
      <c r="AI86" s="220"/>
      <c r="AJ86" s="221"/>
      <c r="AK86" s="221"/>
      <c r="AL86" s="221"/>
      <c r="AM86" s="221"/>
      <c r="AN86" s="222"/>
      <c r="AO86" s="196"/>
      <c r="AP86" s="197"/>
      <c r="AQ86" s="198"/>
    </row>
    <row r="87" spans="1:43" ht="12.75" customHeight="1">
      <c r="A87" s="266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8"/>
      <c r="T87" s="205" t="str">
        <f>CONCATENATE(AO87," ",IF(AO88="","","&amp;")," ",AO88)</f>
        <v>  </v>
      </c>
      <c r="U87" s="206"/>
      <c r="V87" s="207"/>
      <c r="W87" s="204" t="str">
        <f>IF(T87="","",CONCATENATE(AC87," ",AI87))</f>
        <v> </v>
      </c>
      <c r="X87" s="204"/>
      <c r="Y87" s="204"/>
      <c r="Z87" s="204"/>
      <c r="AA87" s="204"/>
      <c r="AB87" s="204"/>
      <c r="AC87" s="223">
        <f>IF($Q$6=AH8,CONCATENATE("1.) ",'Magnakai Zusatz'!G3),IF($Q$6=AH9,CONCATENATE("1.) ",'Magnakai Zusatz'!G3),IF($Q$6=AH10,CONCATENATE("1.) ",'Magnakai Zusatz'!G3," 2.) ",'Magnakai Zusatz'!C16),IF($Q$6=AH11,CONCATENATE("1.) ",'Magnakai Zusatz'!G3," 2.) ",'Magnakai Zusatz'!C16," 3.) ",'Magnakai Zusatz'!G16," &amp; ",'Magnakai Zusatz'!G17),IF($Q$6=AH12,CONCATENATE("1.) ",'Magnakai Zusatz'!G3," 2.) ",'Magnakai Zusatz'!C16," 3.) ",'Magnakai Zusatz'!G16," &amp; ",'Magnakai Zusatz'!G17),IF($Q$6=AH13,CONCATENATE("1.) ",'Magnakai Zusatz'!G3," 2.) ",'Magnakai Zusatz'!C16," 3.) ",'Magnakai Zusatz'!G16," &amp; ",'Magnakai Zusatz'!G17),""))))))</f>
      </c>
      <c r="AD87" s="223"/>
      <c r="AE87" s="223"/>
      <c r="AF87" s="223"/>
      <c r="AG87" s="223"/>
      <c r="AH87" s="223"/>
      <c r="AI87" s="214">
        <f>IF($Q$8=$AI$9,CONCATENATE("4.) ",'Großmeister Zusatz'!G3),IF($Q$8=$AI$10,CONCATENATE("4.) ",'Großmeister Zusatz'!G3),IF($Q$8=$AI$11,CONCATENATE("4.) ",'Großmeister Zusatz'!G3),IF($Q$8=$AI$12,CONCATENATE("4.) ",'Großmeister Zusatz'!G3),IF($Q$8=$AI$13,CONCATENATE("4.) ",'Großmeister Zusatz'!G3),AI89)))))</f>
      </c>
      <c r="AJ87" s="215"/>
      <c r="AK87" s="215"/>
      <c r="AL87" s="215"/>
      <c r="AM87" s="215"/>
      <c r="AN87" s="216"/>
      <c r="AO87" s="190">
        <f>IF(OR($K$25=AH29,$K$26=AH29,$K$27=AH29,$K$28=AH29,$K$29=AH29,$K$30=AH29,$K$31=AH29,$K$32=AH29,$K$33=AH29,$K$34=AH29),"Waffenmeisterschaft","")</f>
      </c>
      <c r="AP87" s="191"/>
      <c r="AQ87" s="192"/>
    </row>
    <row r="88" spans="1:43" ht="12.75" customHeight="1">
      <c r="A88" s="266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8"/>
      <c r="T88" s="208"/>
      <c r="U88" s="209"/>
      <c r="V88" s="210"/>
      <c r="W88" s="204"/>
      <c r="X88" s="204"/>
      <c r="Y88" s="204"/>
      <c r="Z88" s="204"/>
      <c r="AA88" s="204"/>
      <c r="AB88" s="204"/>
      <c r="AC88" s="223"/>
      <c r="AD88" s="223"/>
      <c r="AE88" s="223"/>
      <c r="AF88" s="223"/>
      <c r="AG88" s="223"/>
      <c r="AH88" s="223"/>
      <c r="AI88" s="217"/>
      <c r="AJ88" s="218"/>
      <c r="AK88" s="218"/>
      <c r="AL88" s="218"/>
      <c r="AM88" s="218"/>
      <c r="AN88" s="219"/>
      <c r="AO88" s="193">
        <f>IF(OR($K$43=AK29,$K$44=AK29,$K$45=AK29,$K$46=AK29,$K$47=AK29,$K$48=AK29,$K$49=AK29,$K$50=AK29,$K$51=AK29,$K$52=AK29,$K$53=AK29,$K$54=AK29),"Groß-Waffenmeisterschaft","")</f>
      </c>
      <c r="AP88" s="194"/>
      <c r="AQ88" s="195"/>
    </row>
    <row r="89" spans="1:43" ht="12.75" customHeight="1">
      <c r="A89" s="153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5"/>
      <c r="T89" s="208"/>
      <c r="U89" s="209"/>
      <c r="V89" s="210"/>
      <c r="W89" s="204"/>
      <c r="X89" s="204"/>
      <c r="Y89" s="204"/>
      <c r="Z89" s="204"/>
      <c r="AA89" s="204"/>
      <c r="AB89" s="204"/>
      <c r="AC89" s="223"/>
      <c r="AD89" s="223"/>
      <c r="AE89" s="223"/>
      <c r="AF89" s="223"/>
      <c r="AG89" s="223"/>
      <c r="AH89" s="223"/>
      <c r="AI89" s="217">
        <f>IF($Q$8=$AI$14,CONCATENATE("4.) ",'Großmeister Zusatz'!G3),IF($Q$8=$AI$15,CONCATENATE("4.) ",'Großmeister Zusatz'!G3),""))</f>
      </c>
      <c r="AJ89" s="218"/>
      <c r="AK89" s="218"/>
      <c r="AL89" s="218"/>
      <c r="AM89" s="218"/>
      <c r="AN89" s="219"/>
      <c r="AO89" s="193"/>
      <c r="AP89" s="194"/>
      <c r="AQ89" s="195"/>
    </row>
    <row r="90" spans="1:43" ht="12.75" customHeight="1">
      <c r="A90" s="153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5"/>
      <c r="T90" s="208"/>
      <c r="U90" s="209"/>
      <c r="V90" s="210"/>
      <c r="W90" s="204"/>
      <c r="X90" s="204"/>
      <c r="Y90" s="204"/>
      <c r="Z90" s="204"/>
      <c r="AA90" s="204"/>
      <c r="AB90" s="204"/>
      <c r="AC90" s="223"/>
      <c r="AD90" s="223"/>
      <c r="AE90" s="223"/>
      <c r="AF90" s="223"/>
      <c r="AG90" s="223"/>
      <c r="AH90" s="223"/>
      <c r="AI90" s="217"/>
      <c r="AJ90" s="218"/>
      <c r="AK90" s="218"/>
      <c r="AL90" s="218"/>
      <c r="AM90" s="218"/>
      <c r="AN90" s="219"/>
      <c r="AO90" s="193"/>
      <c r="AP90" s="194"/>
      <c r="AQ90" s="195"/>
    </row>
    <row r="91" spans="1:43" ht="12.75" customHeight="1">
      <c r="A91" s="153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5"/>
      <c r="T91" s="211"/>
      <c r="U91" s="212"/>
      <c r="V91" s="213"/>
      <c r="W91" s="204"/>
      <c r="X91" s="204"/>
      <c r="Y91" s="204"/>
      <c r="Z91" s="204"/>
      <c r="AA91" s="204"/>
      <c r="AB91" s="204"/>
      <c r="AC91" s="223"/>
      <c r="AD91" s="223"/>
      <c r="AE91" s="223"/>
      <c r="AF91" s="223"/>
      <c r="AG91" s="223"/>
      <c r="AH91" s="223"/>
      <c r="AI91" s="220"/>
      <c r="AJ91" s="221"/>
      <c r="AK91" s="221"/>
      <c r="AL91" s="221"/>
      <c r="AM91" s="221"/>
      <c r="AN91" s="222"/>
      <c r="AO91" s="196"/>
      <c r="AP91" s="197"/>
      <c r="AQ91" s="198"/>
    </row>
    <row r="92" spans="1:43" ht="12.75" customHeight="1">
      <c r="A92" s="266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8"/>
      <c r="T92" s="205" t="str">
        <f>CONCATENATE(AO92," ",IF(AO93="","","&amp;")," ",AO93)</f>
        <v>  </v>
      </c>
      <c r="U92" s="206"/>
      <c r="V92" s="207"/>
      <c r="W92" s="204" t="str">
        <f>IF(T92="","",CONCATENATE(AC92," ",AI92))</f>
        <v> </v>
      </c>
      <c r="X92" s="204"/>
      <c r="Y92" s="204"/>
      <c r="Z92" s="204"/>
      <c r="AA92" s="204"/>
      <c r="AB92" s="204"/>
      <c r="AC92" s="223">
        <f>IF($Q$6=AH8,CONCATENATE("1.) ",'Magnakai Zusatz'!G5),IF($Q$6=AH9,CONCATENATE("1.) ",'Magnakai Zusatz'!G5," 2.) ",'Magnakai Zusatz'!L5),IF($Q$6=AH10,CONCATENATE("1.) ",'Magnakai Zusatz'!G5," 2.) ",'Magnakai Zusatz'!L5),IF($Q$6=AH11,CONCATENATE("1.) ",'Magnakai Zusatz'!G5," 2.) ",'Magnakai Zusatz'!L5," 3.) ",'Magnakai Zusatz'!G19),IF($Q$6=AH12,CONCATENATE("1.) ",'Magnakai Zusatz'!G5," 2.) ",'Magnakai Zusatz'!L5," 3.) ",'Magnakai Zusatz'!G19),IF($Q$6=AH13,CONCATENATE("1.) ",'Magnakai Zusatz'!G5," 2.) ",'Magnakai Zusatz'!L5," 3.) ",'Magnakai Zusatz'!G19),""))))))</f>
      </c>
      <c r="AD92" s="223"/>
      <c r="AE92" s="223"/>
      <c r="AF92" s="223"/>
      <c r="AG92" s="223"/>
      <c r="AH92" s="223"/>
      <c r="AI92" s="214">
        <f>IF($Q$8=$AI$8,CONCATENATE("4.) ",'Großmeister Zusatz'!C5),IF($Q$8=$AI$9,CONCATENATE("4.) ",'Großmeister Zusatz'!C5),IF($Q$8=$AI$10,CONCATENATE("4.) ",'Großmeister Zusatz'!C5),IF($Q$8=$AI$11,CONCATENATE("4.) ",'Großmeister Zusatz'!C5),IF($Q$8=$AI$12,CONCATENATE("4.) ",'Großmeister Zusatz'!C5),IF($Q$8=$AI$13,CONCATENATE("4.) ",'Großmeister Zusatz'!C5),AI94))))))</f>
      </c>
      <c r="AJ92" s="215"/>
      <c r="AK92" s="215"/>
      <c r="AL92" s="215"/>
      <c r="AM92" s="215"/>
      <c r="AN92" s="216"/>
      <c r="AO92" s="190">
        <f>IF(OR($K$25=AH30,$K$26=AH30,$K$27=AH30,$K$28=AH30,$K$29=AH30,$K$30=AH30,$K$31=AH30,$K$32=AH30,$K$33=AH30,$K$34=AH30),"Unsichtbarkeit","")</f>
      </c>
      <c r="AP92" s="191"/>
      <c r="AQ92" s="192"/>
    </row>
    <row r="93" spans="1:43" ht="12.75" customHeight="1">
      <c r="A93" s="266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8"/>
      <c r="T93" s="208"/>
      <c r="U93" s="209"/>
      <c r="V93" s="210"/>
      <c r="W93" s="204"/>
      <c r="X93" s="204"/>
      <c r="Y93" s="204"/>
      <c r="Z93" s="204"/>
      <c r="AA93" s="204"/>
      <c r="AB93" s="204"/>
      <c r="AC93" s="223"/>
      <c r="AD93" s="223"/>
      <c r="AE93" s="223"/>
      <c r="AF93" s="223"/>
      <c r="AG93" s="223"/>
      <c r="AH93" s="223"/>
      <c r="AI93" s="217"/>
      <c r="AJ93" s="218"/>
      <c r="AK93" s="218"/>
      <c r="AL93" s="218"/>
      <c r="AM93" s="218"/>
      <c r="AN93" s="219"/>
      <c r="AO93" s="193">
        <f>IF(OR($K$43=AK30,$K$44=AK30,$K$45=AK30,$K$46=AK30,$K$47=AK30,$K$48=AK30,$K$49=AK30,$K$50=AK30,$K$51=AK30,$K$52=AK30,$K$53=AK30,$K$54=AK30),"Verschmelzung","")</f>
      </c>
      <c r="AP93" s="194"/>
      <c r="AQ93" s="195"/>
    </row>
    <row r="94" spans="1:43" ht="12.75" customHeight="1">
      <c r="A94" s="266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8"/>
      <c r="T94" s="208"/>
      <c r="U94" s="209"/>
      <c r="V94" s="210"/>
      <c r="W94" s="204"/>
      <c r="X94" s="204"/>
      <c r="Y94" s="204"/>
      <c r="Z94" s="204"/>
      <c r="AA94" s="204"/>
      <c r="AB94" s="204"/>
      <c r="AC94" s="223"/>
      <c r="AD94" s="223"/>
      <c r="AE94" s="223"/>
      <c r="AF94" s="223"/>
      <c r="AG94" s="223"/>
      <c r="AH94" s="223"/>
      <c r="AI94" s="217">
        <f>IF($Q$8=$AI$14,CONCATENATE("4.) ",'Großmeister Zusatz'!C5),IF($Q$8=$AI$15,CONCATENATE("4.) ",'Großmeister Zusatz'!C5),""))</f>
      </c>
      <c r="AJ94" s="218"/>
      <c r="AK94" s="218"/>
      <c r="AL94" s="218"/>
      <c r="AM94" s="218"/>
      <c r="AN94" s="219"/>
      <c r="AO94" s="193"/>
      <c r="AP94" s="194"/>
      <c r="AQ94" s="195"/>
    </row>
    <row r="95" spans="1:43" ht="12.75" customHeight="1">
      <c r="A95" s="153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5"/>
      <c r="T95" s="208"/>
      <c r="U95" s="209"/>
      <c r="V95" s="210"/>
      <c r="W95" s="204"/>
      <c r="X95" s="204"/>
      <c r="Y95" s="204"/>
      <c r="Z95" s="204"/>
      <c r="AA95" s="204"/>
      <c r="AB95" s="204"/>
      <c r="AC95" s="223"/>
      <c r="AD95" s="223"/>
      <c r="AE95" s="223"/>
      <c r="AF95" s="223"/>
      <c r="AG95" s="223"/>
      <c r="AH95" s="223"/>
      <c r="AI95" s="217"/>
      <c r="AJ95" s="218"/>
      <c r="AK95" s="218"/>
      <c r="AL95" s="218"/>
      <c r="AM95" s="218"/>
      <c r="AN95" s="219"/>
      <c r="AO95" s="193"/>
      <c r="AP95" s="194"/>
      <c r="AQ95" s="195"/>
    </row>
    <row r="96" spans="1:43" ht="12.75" customHeight="1">
      <c r="A96" s="266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8"/>
      <c r="T96" s="211"/>
      <c r="U96" s="212"/>
      <c r="V96" s="213"/>
      <c r="W96" s="204"/>
      <c r="X96" s="204"/>
      <c r="Y96" s="204"/>
      <c r="Z96" s="204"/>
      <c r="AA96" s="204"/>
      <c r="AB96" s="204"/>
      <c r="AC96" s="223"/>
      <c r="AD96" s="223"/>
      <c r="AE96" s="223"/>
      <c r="AF96" s="223"/>
      <c r="AG96" s="223"/>
      <c r="AH96" s="223"/>
      <c r="AI96" s="220"/>
      <c r="AJ96" s="221"/>
      <c r="AK96" s="221"/>
      <c r="AL96" s="221"/>
      <c r="AM96" s="221"/>
      <c r="AN96" s="222"/>
      <c r="AO96" s="196"/>
      <c r="AP96" s="197"/>
      <c r="AQ96" s="198"/>
    </row>
    <row r="97" spans="1:43" ht="12.75" customHeight="1">
      <c r="A97" s="266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8"/>
      <c r="T97" s="205" t="str">
        <f>CONCATENATE(AO97," ",IF(AO98="","","&amp;")," ",AO98)</f>
        <v>  </v>
      </c>
      <c r="U97" s="206"/>
      <c r="V97" s="207"/>
      <c r="W97" s="204" t="str">
        <f>IF(T97="","",CONCATENATE(AC97," ",AI97))</f>
        <v> </v>
      </c>
      <c r="X97" s="204"/>
      <c r="Y97" s="204"/>
      <c r="Z97" s="204"/>
      <c r="AA97" s="204"/>
      <c r="AB97" s="204"/>
      <c r="AC97" s="223">
        <f>IF($Q$6=AH8,CONCATENATE("1.) ",'Magnakai Zusatz'!G7),IF($Q$6=AH9,CONCATENATE("1.) ",'Magnakai Zusatz'!G7),IF($Q$6=AH10,CONCATENATE("1.) ",'Magnakai Zusatz'!G7," 2.) ",'Magnakai Zusatz'!C20),IF($Q$6=AH11,CONCATENATE("1.) ",'Magnakai Zusatz'!G7," 2.) ",'Magnakai Zusatz'!C20," 3.) ",'Magnakai Zusatz'!G21," &amp; ",'Magnakai Zusatz'!G22,'Magnakai Zusatz'!G23),IF($Q$6=AH12,CONCATENATE("1.) ",'Magnakai Zusatz'!G7," 2.) ",'Magnakai Zusatz'!C20," 3.) ",'Magnakai Zusatz'!G21," &amp; ",'Magnakai Zusatz'!G22,'Magnakai Zusatz'!G23),IF($Q$6=AH13,CONCATENATE("1.) ",'Magnakai Zusatz'!G7," 2.) ",'Magnakai Zusatz'!C20," 3.) ",'Magnakai Zusatz'!G21," &amp; ",'Magnakai Zusatz'!G22,'Magnakai Zusatz'!G23),""))))))</f>
      </c>
      <c r="AD97" s="223"/>
      <c r="AE97" s="223"/>
      <c r="AF97" s="223"/>
      <c r="AG97" s="223"/>
      <c r="AH97" s="223"/>
      <c r="AI97" s="214">
        <f>IF($Q$8=$AI$9,CONCATENATE("4.) ",'Großmeister Zusatz'!G7),IF($Q$8=$AI$10,CONCATENATE("4.) ",'Großmeister Zusatz'!G7),IF($Q$8=$AI$11,CONCATENATE("4.) ",'Großmeister Zusatz'!G7),IF($Q$8=$AI$12,CONCATENATE("4.) ",'Großmeister Zusatz'!G7),IF($Q$8=$AI$13,CONCATENATE("4.) ",'Großmeister Zusatz'!G7),AI99)))))</f>
      </c>
      <c r="AJ97" s="215"/>
      <c r="AK97" s="215"/>
      <c r="AL97" s="215"/>
      <c r="AM97" s="215"/>
      <c r="AN97" s="216"/>
      <c r="AO97" s="190">
        <f>IF(OR($K$25=AH28,$K$26=AH28,$K$27=AH28,$K$28=AH28,$K$29=AH28,$K$30=AH28,$K$31=AH28,$K$32=AH28,$K$33=AH28,$K$34=AH28),"Pfadmeisterschaft","")</f>
      </c>
      <c r="AP97" s="191"/>
      <c r="AQ97" s="192"/>
    </row>
    <row r="98" spans="1:43" ht="12.75" customHeight="1">
      <c r="A98" s="266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8"/>
      <c r="T98" s="208"/>
      <c r="U98" s="209"/>
      <c r="V98" s="210"/>
      <c r="W98" s="204"/>
      <c r="X98" s="204"/>
      <c r="Y98" s="204"/>
      <c r="Z98" s="204"/>
      <c r="AA98" s="204"/>
      <c r="AB98" s="204"/>
      <c r="AC98" s="223"/>
      <c r="AD98" s="223"/>
      <c r="AE98" s="223"/>
      <c r="AF98" s="223"/>
      <c r="AG98" s="223"/>
      <c r="AH98" s="223"/>
      <c r="AI98" s="217"/>
      <c r="AJ98" s="218"/>
      <c r="AK98" s="218"/>
      <c r="AL98" s="218"/>
      <c r="AM98" s="218"/>
      <c r="AN98" s="219"/>
      <c r="AO98" s="193">
        <f>IF(OR($K$43=AK28,$K$44=AK28,$K$45=AK28,$K$46=AK28,$K$47=AK28,$K$48=AK28,$K$49=AK28,$K$50=AK28,$K$51=AK28,$K$52=AK28,$K$53=AK28,$K$54=AK28),"Groß-Pfadmeisterschaft","")</f>
      </c>
      <c r="AP98" s="194"/>
      <c r="AQ98" s="195"/>
    </row>
    <row r="99" spans="1:43" ht="12.75" customHeight="1">
      <c r="A99" s="266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8"/>
      <c r="T99" s="208"/>
      <c r="U99" s="209"/>
      <c r="V99" s="210"/>
      <c r="W99" s="204"/>
      <c r="X99" s="204"/>
      <c r="Y99" s="204"/>
      <c r="Z99" s="204"/>
      <c r="AA99" s="204"/>
      <c r="AB99" s="204"/>
      <c r="AC99" s="223"/>
      <c r="AD99" s="223"/>
      <c r="AE99" s="223"/>
      <c r="AF99" s="223"/>
      <c r="AG99" s="223"/>
      <c r="AH99" s="223"/>
      <c r="AI99" s="217">
        <f>IF($Q$8=$AI$14,CONCATENATE("4.) ",'Großmeister Zusatz'!G7),IF($Q$8=$AI$15,CONCATENATE("4.) ",'Großmeister Zusatz'!G7),""))</f>
      </c>
      <c r="AJ99" s="218"/>
      <c r="AK99" s="218"/>
      <c r="AL99" s="218"/>
      <c r="AM99" s="218"/>
      <c r="AN99" s="219"/>
      <c r="AO99" s="193"/>
      <c r="AP99" s="194"/>
      <c r="AQ99" s="195"/>
    </row>
    <row r="100" spans="1:43" ht="12.75" customHeight="1">
      <c r="A100" s="1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5"/>
      <c r="T100" s="208"/>
      <c r="U100" s="209"/>
      <c r="V100" s="210"/>
      <c r="W100" s="204"/>
      <c r="X100" s="204"/>
      <c r="Y100" s="204"/>
      <c r="Z100" s="204"/>
      <c r="AA100" s="204"/>
      <c r="AB100" s="204"/>
      <c r="AC100" s="223"/>
      <c r="AD100" s="223"/>
      <c r="AE100" s="223"/>
      <c r="AF100" s="223"/>
      <c r="AG100" s="223"/>
      <c r="AH100" s="223"/>
      <c r="AI100" s="217"/>
      <c r="AJ100" s="218"/>
      <c r="AK100" s="218"/>
      <c r="AL100" s="218"/>
      <c r="AM100" s="218"/>
      <c r="AN100" s="219"/>
      <c r="AO100" s="193"/>
      <c r="AP100" s="194"/>
      <c r="AQ100" s="195"/>
    </row>
    <row r="101" spans="1:43" ht="12.75" customHeight="1">
      <c r="A101" s="266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8"/>
      <c r="T101" s="211"/>
      <c r="U101" s="212"/>
      <c r="V101" s="213"/>
      <c r="W101" s="204"/>
      <c r="X101" s="204"/>
      <c r="Y101" s="204"/>
      <c r="Z101" s="204"/>
      <c r="AA101" s="204"/>
      <c r="AB101" s="204"/>
      <c r="AC101" s="223"/>
      <c r="AD101" s="223"/>
      <c r="AE101" s="223"/>
      <c r="AF101" s="223"/>
      <c r="AG101" s="223"/>
      <c r="AH101" s="223"/>
      <c r="AI101" s="220"/>
      <c r="AJ101" s="221"/>
      <c r="AK101" s="221"/>
      <c r="AL101" s="221"/>
      <c r="AM101" s="221"/>
      <c r="AN101" s="222"/>
      <c r="AO101" s="196"/>
      <c r="AP101" s="197"/>
      <c r="AQ101" s="198"/>
    </row>
    <row r="102" spans="1:43" ht="12.75" customHeight="1">
      <c r="A102" s="266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8"/>
      <c r="T102" s="205" t="str">
        <f>CONCATENATE(AO102," ",IF(AO103="","","&amp;")," ",AO103)</f>
        <v>  </v>
      </c>
      <c r="U102" s="206"/>
      <c r="V102" s="207"/>
      <c r="W102" s="204" t="str">
        <f>IF(T102="","",CONCATENATE(AC102," ",AI102))</f>
        <v> </v>
      </c>
      <c r="X102" s="204"/>
      <c r="Y102" s="204"/>
      <c r="Z102" s="204"/>
      <c r="AA102" s="204"/>
      <c r="AB102" s="204"/>
      <c r="AC102" s="223">
        <f>IF($Q$6=AH9,CONCATENATE("1.) ",'Magnakai Zusatz'!G9),IF($Q$6=AH9,CONCATENATE("1.) ",'Magnakai Zusatz'!G9),IF($Q$6=AH10,CONCATENATE("1.) ",'Magnakai Zusatz'!G9," 2.) ",'Magnakai Zusatz'!C22," ",'Magnakai Zusatz'!C23),IF($Q$6=AH11,CONCATENATE("1.) ",'Magnakai Zusatz'!G9," 2.) ",'Magnakai Zusatz'!C22," ",'Magnakai Zusatz'!C23," 3.) ",'Magnakai Zusatz'!G25," ",'Magnakai Zusatz'!G26),IF($Q$6=AH12,CONCATENATE("1.) ",'Magnakai Zusatz'!G9," 2.) ",'Magnakai Zusatz'!C22," ",'Magnakai Zusatz'!C23," 3.) ",'Magnakai Zusatz'!G25," ",'Magnakai Zusatz'!G26),IF($Q$6=AH13,CONCATENATE("1.) ",'Magnakai Zusatz'!G9," 2.) ",'Magnakai Zusatz'!C22," ",'Magnakai Zusatz'!C23," 3.) ",'Magnakai Zusatz'!G25," ",'Magnakai Zusatz'!G26),""))))))</f>
      </c>
      <c r="AD102" s="223"/>
      <c r="AE102" s="223"/>
      <c r="AF102" s="223"/>
      <c r="AG102" s="223"/>
      <c r="AH102" s="223"/>
      <c r="AI102" s="214">
        <f>IF($Q$8=$AI$8,CONCATENATE("4.) ",'Großmeister Zusatz'!C11),IF($Q$8=$AI$9,CONCATENATE("4.) ",'Großmeister Zusatz'!C11),IF($Q$8=$AI$10,CONCATENATE("4.) ",'Großmeister Zusatz'!C11),IF($Q$8=$AI$11,CONCATENATE("4.) ",'Großmeister Zusatz'!C11),IF($Q$8=$AI$12,CONCATENATE("4.) ",'Großmeister Zusatz'!C11),IF($Q$8=$AI$13,CONCATENATE("4.) ",'Großmeister Zusatz'!C11),AI104))))))</f>
      </c>
      <c r="AJ102" s="215"/>
      <c r="AK102" s="215"/>
      <c r="AL102" s="215"/>
      <c r="AM102" s="215"/>
      <c r="AN102" s="216"/>
      <c r="AO102" s="190">
        <f>IF(OR($K$25=AH32,$K$26=AH26,$K$27=AH32,$K$28=AH32,$K$29=AH32,$K$30=AH32,$K$31=AH32,$K$32=AH32,$K$33=AH32,$K$34=AH32),"Psi-Schirm","")</f>
      </c>
      <c r="AP102" s="191"/>
      <c r="AQ102" s="192"/>
    </row>
    <row r="103" spans="1:43" ht="12.75" customHeight="1">
      <c r="A103" s="266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8"/>
      <c r="T103" s="208"/>
      <c r="U103" s="209"/>
      <c r="V103" s="210"/>
      <c r="W103" s="204"/>
      <c r="X103" s="204"/>
      <c r="Y103" s="204"/>
      <c r="Z103" s="204"/>
      <c r="AA103" s="204"/>
      <c r="AB103" s="204"/>
      <c r="AC103" s="223"/>
      <c r="AD103" s="223"/>
      <c r="AE103" s="223"/>
      <c r="AF103" s="223"/>
      <c r="AG103" s="223"/>
      <c r="AH103" s="223"/>
      <c r="AI103" s="217"/>
      <c r="AJ103" s="218"/>
      <c r="AK103" s="218"/>
      <c r="AL103" s="218"/>
      <c r="AM103" s="218"/>
      <c r="AN103" s="219"/>
      <c r="AO103" s="193">
        <f>IF(OR($K$43=AK32,$K$44=AK32,$K$45=AK32,$K$46=AK32,$K$47=AK32,$K$48=AK32,$K$49=AK32,$K$50=AK32,$K$51=AK32,$K$52=AK32,$K$53=AK32,$K$54=AK32),"Kai-Schirm","")</f>
      </c>
      <c r="AP103" s="194"/>
      <c r="AQ103" s="195"/>
    </row>
    <row r="104" spans="1:43" ht="12.75" customHeight="1">
      <c r="A104" s="266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8"/>
      <c r="T104" s="208"/>
      <c r="U104" s="209"/>
      <c r="V104" s="210"/>
      <c r="W104" s="204"/>
      <c r="X104" s="204"/>
      <c r="Y104" s="204"/>
      <c r="Z104" s="204"/>
      <c r="AA104" s="204"/>
      <c r="AB104" s="204"/>
      <c r="AC104" s="223"/>
      <c r="AD104" s="223"/>
      <c r="AE104" s="223"/>
      <c r="AF104" s="223"/>
      <c r="AG104" s="223"/>
      <c r="AH104" s="223"/>
      <c r="AI104" s="217">
        <f>IF($Q$8=$AI$14,CONCATENATE("4.) ",'Großmeister Zusatz'!C11),IF($Q$8=$AI$15,CONCATENATE("4.) ",'Großmeister Zusatz'!C11),""))</f>
      </c>
      <c r="AJ104" s="218"/>
      <c r="AK104" s="218"/>
      <c r="AL104" s="218"/>
      <c r="AM104" s="218"/>
      <c r="AN104" s="219"/>
      <c r="AO104" s="193"/>
      <c r="AP104" s="194"/>
      <c r="AQ104" s="195"/>
    </row>
    <row r="105" spans="1:43" ht="12.75" customHeight="1">
      <c r="A105" s="153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5"/>
      <c r="T105" s="208"/>
      <c r="U105" s="209"/>
      <c r="V105" s="210"/>
      <c r="W105" s="204"/>
      <c r="X105" s="204"/>
      <c r="Y105" s="204"/>
      <c r="Z105" s="204"/>
      <c r="AA105" s="204"/>
      <c r="AB105" s="204"/>
      <c r="AC105" s="223"/>
      <c r="AD105" s="223"/>
      <c r="AE105" s="223"/>
      <c r="AF105" s="223"/>
      <c r="AG105" s="223"/>
      <c r="AH105" s="223"/>
      <c r="AI105" s="217"/>
      <c r="AJ105" s="218"/>
      <c r="AK105" s="218"/>
      <c r="AL105" s="218"/>
      <c r="AM105" s="218"/>
      <c r="AN105" s="219"/>
      <c r="AO105" s="193"/>
      <c r="AP105" s="194"/>
      <c r="AQ105" s="195"/>
    </row>
    <row r="106" spans="1:43" ht="12.75" customHeight="1">
      <c r="A106" s="266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8"/>
      <c r="T106" s="211"/>
      <c r="U106" s="212"/>
      <c r="V106" s="213"/>
      <c r="W106" s="204"/>
      <c r="X106" s="204"/>
      <c r="Y106" s="204"/>
      <c r="Z106" s="204"/>
      <c r="AA106" s="204"/>
      <c r="AB106" s="204"/>
      <c r="AC106" s="223"/>
      <c r="AD106" s="223"/>
      <c r="AE106" s="223"/>
      <c r="AF106" s="223"/>
      <c r="AG106" s="223"/>
      <c r="AH106" s="223"/>
      <c r="AI106" s="220"/>
      <c r="AJ106" s="221"/>
      <c r="AK106" s="221"/>
      <c r="AL106" s="221"/>
      <c r="AM106" s="221"/>
      <c r="AN106" s="222"/>
      <c r="AO106" s="196"/>
      <c r="AP106" s="197"/>
      <c r="AQ106" s="198"/>
    </row>
    <row r="107" spans="1:43" ht="12.75" customHeight="1">
      <c r="A107" s="266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8"/>
      <c r="T107" s="205" t="str">
        <f>CONCATENATE(AO107," ",IF(AO108="","","&amp;")," ",AO108)</f>
        <v>  </v>
      </c>
      <c r="U107" s="206"/>
      <c r="V107" s="207"/>
      <c r="W107" s="204" t="str">
        <f>IF(T107="","",CONCATENATE(AC107," ",AI107))</f>
        <v> </v>
      </c>
      <c r="X107" s="204"/>
      <c r="Y107" s="204"/>
      <c r="Z107" s="204"/>
      <c r="AA107" s="204"/>
      <c r="AB107" s="204"/>
      <c r="AC107" s="223">
        <f>IF($Q$6=AH8,CONCATENATE("1.) ",'Magnakai Zusatz'!G11," ",'Magnakai Zusatz'!G12),IF($Q$6=AH9,CONCATENATE("1.) ",'Magnakai Zusatz'!G11," ",'Magnakai Zusatz'!G12),IF($Q$6=AH10,CONCATENATE("1.) ",'Magnakai Zusatz'!G11," ",'Magnakai Zusatz'!G12," 2.) ",'Magnakai Zusatz'!C25," ",'Magnakai Zusatz'!C26),IF($Q$6=AH11,CONCATENATE("1.) ",'Magnakai Zusatz'!G11," ",'Magnakai Zusatz'!G12," 2.) ",'Magnakai Zusatz'!C25," ",'Magnakai Zusatz'!C26," 3.) ",'Magnakai Zusatz'!G28),IF($Q$6=AH12,CONCATENATE("1.) ",'Magnakai Zusatz'!G11," ",'Magnakai Zusatz'!G12," 2.) ",'Magnakai Zusatz'!C25," ",'Magnakai Zusatz'!C26," 3.) ",'Magnakai Zusatz'!G28),IF($Q$6=AH13,CONCATENATE("1.) ",'Magnakai Zusatz'!G11," ",'Magnakai Zusatz'!G12," 2.) ",'Magnakai Zusatz'!C25," ",'Magnakai Zusatz'!C26," 3.) ",'Magnakai Zusatz'!G28),""))))))</f>
      </c>
      <c r="AD107" s="223"/>
      <c r="AE107" s="223"/>
      <c r="AF107" s="223"/>
      <c r="AG107" s="223"/>
      <c r="AH107" s="223"/>
      <c r="AI107" s="214">
        <f>IF($Q$8=$AI$10,CONCATENATE("4.) ",'Großmeister Zusatz'!C39),IF($Q$8=$AI$11,CONCATENATE("4.) ",'Großmeister Zusatz'!C39),IF($Q$8=$AI$12,CONCATENATE("4.) ",'Großmeister Zusatz'!C39),IF($Q$8=$AI$13,CONCATENATE("4.) ",'Großmeister Zusatz'!C39),AI109))))</f>
      </c>
      <c r="AJ107" s="215"/>
      <c r="AK107" s="215"/>
      <c r="AL107" s="215"/>
      <c r="AM107" s="215"/>
      <c r="AN107" s="216"/>
      <c r="AO107" s="190">
        <f>IF(OR($K$25=AH34,$K$26=AH26,$K$27=AH34,$K$28=AH34,$K$29=AH34,$K$30=AH34,$K$31=AH34,$K$32=AH34,$K$33=AH34,$K$34=AH34),"Zweites Gesicht","")</f>
      </c>
      <c r="AP107" s="191"/>
      <c r="AQ107" s="192"/>
    </row>
    <row r="108" spans="1:43" ht="12.75" customHeight="1">
      <c r="A108" s="266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8"/>
      <c r="T108" s="208"/>
      <c r="U108" s="209"/>
      <c r="V108" s="210"/>
      <c r="W108" s="204"/>
      <c r="X108" s="204"/>
      <c r="Y108" s="204"/>
      <c r="Z108" s="204"/>
      <c r="AA108" s="204"/>
      <c r="AB108" s="204"/>
      <c r="AC108" s="223"/>
      <c r="AD108" s="223"/>
      <c r="AE108" s="223"/>
      <c r="AF108" s="223"/>
      <c r="AG108" s="223"/>
      <c r="AH108" s="223"/>
      <c r="AI108" s="217"/>
      <c r="AJ108" s="218"/>
      <c r="AK108" s="218"/>
      <c r="AL108" s="218"/>
      <c r="AM108" s="218"/>
      <c r="AN108" s="219"/>
      <c r="AO108" s="193">
        <f>IF(OR($K$43=AK34,$K$44=AK34,$K$45=AK34,$K$46=AK34,$K$47=AK34,$K$48=AK34,$K$49=AK34,$K$50=AK34,$K$51=AK34,$K$52=AK34,$K$53=AK34,$K$54=AK34),"Drittes Auge","")</f>
      </c>
      <c r="AP108" s="194"/>
      <c r="AQ108" s="195"/>
    </row>
    <row r="109" spans="1:43" ht="12.75" customHeight="1">
      <c r="A109" s="266"/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8"/>
      <c r="T109" s="208"/>
      <c r="U109" s="209"/>
      <c r="V109" s="210"/>
      <c r="W109" s="204"/>
      <c r="X109" s="204"/>
      <c r="Y109" s="204"/>
      <c r="Z109" s="204"/>
      <c r="AA109" s="204"/>
      <c r="AB109" s="204"/>
      <c r="AC109" s="223"/>
      <c r="AD109" s="223"/>
      <c r="AE109" s="223"/>
      <c r="AF109" s="223"/>
      <c r="AG109" s="223"/>
      <c r="AH109" s="223"/>
      <c r="AI109" s="217">
        <f>IF($Q$8=$AI$14,CONCATENATE("4.) ",'Großmeister Zusatz'!C40),IF($Q$8=$AI$15,CONCATENATE("4.) ",'Großmeister Zusatz'!C40),""))</f>
      </c>
      <c r="AJ109" s="218"/>
      <c r="AK109" s="218"/>
      <c r="AL109" s="218"/>
      <c r="AM109" s="218"/>
      <c r="AN109" s="219"/>
      <c r="AO109" s="193"/>
      <c r="AP109" s="194"/>
      <c r="AQ109" s="195"/>
    </row>
    <row r="110" spans="1:43" ht="12.75" customHeight="1">
      <c r="A110" s="153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5"/>
      <c r="T110" s="208"/>
      <c r="U110" s="209"/>
      <c r="V110" s="210"/>
      <c r="W110" s="204"/>
      <c r="X110" s="204"/>
      <c r="Y110" s="204"/>
      <c r="Z110" s="204"/>
      <c r="AA110" s="204"/>
      <c r="AB110" s="204"/>
      <c r="AC110" s="223"/>
      <c r="AD110" s="223"/>
      <c r="AE110" s="223"/>
      <c r="AF110" s="223"/>
      <c r="AG110" s="223"/>
      <c r="AH110" s="223"/>
      <c r="AI110" s="217"/>
      <c r="AJ110" s="218"/>
      <c r="AK110" s="218"/>
      <c r="AL110" s="218"/>
      <c r="AM110" s="218"/>
      <c r="AN110" s="219"/>
      <c r="AO110" s="193"/>
      <c r="AP110" s="194"/>
      <c r="AQ110" s="195"/>
    </row>
    <row r="111" spans="1:43" ht="12.75" customHeight="1">
      <c r="A111" s="266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8"/>
      <c r="T111" s="211"/>
      <c r="U111" s="212"/>
      <c r="V111" s="213"/>
      <c r="W111" s="204"/>
      <c r="X111" s="204"/>
      <c r="Y111" s="204"/>
      <c r="Z111" s="204"/>
      <c r="AA111" s="204"/>
      <c r="AB111" s="204"/>
      <c r="AC111" s="223"/>
      <c r="AD111" s="223"/>
      <c r="AE111" s="223"/>
      <c r="AF111" s="223"/>
      <c r="AG111" s="223"/>
      <c r="AH111" s="223"/>
      <c r="AI111" s="220"/>
      <c r="AJ111" s="221"/>
      <c r="AK111" s="221"/>
      <c r="AL111" s="221"/>
      <c r="AM111" s="221"/>
      <c r="AN111" s="222"/>
      <c r="AO111" s="196"/>
      <c r="AP111" s="197"/>
      <c r="AQ111" s="198"/>
    </row>
    <row r="112" spans="1:43" ht="12.75" customHeight="1">
      <c r="A112" s="266"/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8"/>
      <c r="T112" s="205">
        <f>AO113</f>
      </c>
      <c r="U112" s="206"/>
      <c r="V112" s="207"/>
      <c r="W112" s="204">
        <f>IF(T112="","",CONCATENATE(AC112," ",AI112))</f>
      </c>
      <c r="X112" s="204"/>
      <c r="Y112" s="204"/>
      <c r="Z112" s="204"/>
      <c r="AA112" s="204"/>
      <c r="AB112" s="204"/>
      <c r="AC112" s="113"/>
      <c r="AD112" s="113"/>
      <c r="AE112" s="113"/>
      <c r="AF112" s="113"/>
      <c r="AG112" s="113"/>
      <c r="AH112" s="113"/>
      <c r="AI112" s="214">
        <f>IF($Q$8=$AI$8,CONCATENATE("4.) ",'Großmeister Zusatz'!C13," ","&amp;"," ",'Großmeister Zusatz'!C14),IF($Q$8=$AI$9,CONCATENATE("4.) ",'Großmeister Zusatz'!C13," ","&amp;"," ",'Großmeister Zusatz'!C14),IF($Q$8=$AI$10,CONCATENATE("4.) ",'Großmeister Zusatz'!C13," ","&amp;"," ",'Großmeister Zusatz'!C14),IF($Q$8=$AI$11,CONCATENATE("4.) ",'Großmeister Zusatz'!C13," ","&amp;"," ",'Großmeister Zusatz'!C14),IF($Q$8=$AI$12,CONCATENATE("4.) ",'Großmeister Zusatz'!C13," ","&amp;"," ",'Großmeister Zusatz'!C14),IF($Q$8=$AI$13,CONCATENATE("4.) ",'Großmeister Zusatz'!C13," ","&amp;"," ",'Großmeister Zusatz'!C14),AI114))))))</f>
      </c>
      <c r="AJ112" s="215"/>
      <c r="AK112" s="215"/>
      <c r="AL112" s="215"/>
      <c r="AM112" s="215"/>
      <c r="AN112" s="216"/>
      <c r="AO112" s="190"/>
      <c r="AP112" s="191"/>
      <c r="AQ112" s="192"/>
    </row>
    <row r="113" spans="1:43" ht="12.75" customHeight="1">
      <c r="A113" s="266"/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8"/>
      <c r="T113" s="208"/>
      <c r="U113" s="209"/>
      <c r="V113" s="210"/>
      <c r="W113" s="204"/>
      <c r="X113" s="204"/>
      <c r="Y113" s="204"/>
      <c r="Z113" s="204"/>
      <c r="AA113" s="204"/>
      <c r="AB113" s="204"/>
      <c r="AC113" s="113"/>
      <c r="AD113" s="113"/>
      <c r="AE113" s="113"/>
      <c r="AF113" s="113"/>
      <c r="AG113" s="113"/>
      <c r="AH113" s="113"/>
      <c r="AI113" s="217"/>
      <c r="AJ113" s="218"/>
      <c r="AK113" s="218"/>
      <c r="AL113" s="218"/>
      <c r="AM113" s="218"/>
      <c r="AN113" s="219"/>
      <c r="AO113" s="193">
        <f>IF(OR($K$43=AK35,$K$44=AK35,$K$45=AK35,$K$46=AK35,$K$47=AK35,$K$48=AK35,$K$49=AK35,$K$50=AK35,$K$51=AK35,$K$52=AK35,$K$53=AK35,$K$54=AK35),"Altmagie","")</f>
      </c>
      <c r="AP113" s="194"/>
      <c r="AQ113" s="195"/>
    </row>
    <row r="114" spans="1:43" ht="12.75" customHeight="1">
      <c r="A114" s="266"/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8"/>
      <c r="T114" s="208"/>
      <c r="U114" s="209"/>
      <c r="V114" s="210"/>
      <c r="W114" s="204"/>
      <c r="X114" s="204"/>
      <c r="Y114" s="204"/>
      <c r="Z114" s="204"/>
      <c r="AA114" s="204"/>
      <c r="AB114" s="204"/>
      <c r="AC114" s="113"/>
      <c r="AD114" s="113"/>
      <c r="AE114" s="113"/>
      <c r="AF114" s="113"/>
      <c r="AG114" s="113"/>
      <c r="AH114" s="113"/>
      <c r="AI114" s="217">
        <f>IF($Q$8=$AI$14,CONCATENATE("4.) ",'Großmeister Zusatz'!C13," ","&amp;"," ",'Großmeister Zusatz'!C14),IF($Q$8=$AI$15,CONCATENATE("4.) ",'Großmeister Zusatz'!C13," ","&amp;"," ",'Großmeister Zusatz'!C14),""))</f>
      </c>
      <c r="AJ114" s="218"/>
      <c r="AK114" s="218"/>
      <c r="AL114" s="218"/>
      <c r="AM114" s="218"/>
      <c r="AN114" s="219"/>
      <c r="AO114" s="193"/>
      <c r="AP114" s="194"/>
      <c r="AQ114" s="195"/>
    </row>
    <row r="115" spans="1:43" ht="12.75" customHeight="1">
      <c r="A115" s="153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5"/>
      <c r="T115" s="208"/>
      <c r="U115" s="209"/>
      <c r="V115" s="210"/>
      <c r="W115" s="204"/>
      <c r="X115" s="204"/>
      <c r="Y115" s="204"/>
      <c r="Z115" s="204"/>
      <c r="AA115" s="204"/>
      <c r="AB115" s="204"/>
      <c r="AC115" s="113"/>
      <c r="AD115" s="113"/>
      <c r="AE115" s="113"/>
      <c r="AF115" s="113"/>
      <c r="AG115" s="113"/>
      <c r="AH115" s="113"/>
      <c r="AI115" s="217"/>
      <c r="AJ115" s="218"/>
      <c r="AK115" s="218"/>
      <c r="AL115" s="218"/>
      <c r="AM115" s="218"/>
      <c r="AN115" s="219"/>
      <c r="AO115" s="193"/>
      <c r="AP115" s="194"/>
      <c r="AQ115" s="195"/>
    </row>
    <row r="116" spans="1:43" ht="12.75" customHeight="1">
      <c r="A116" s="266"/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8"/>
      <c r="T116" s="211"/>
      <c r="U116" s="212"/>
      <c r="V116" s="213"/>
      <c r="W116" s="204"/>
      <c r="X116" s="204"/>
      <c r="Y116" s="204"/>
      <c r="Z116" s="204"/>
      <c r="AA116" s="204"/>
      <c r="AB116" s="204"/>
      <c r="AC116" s="113"/>
      <c r="AD116" s="113"/>
      <c r="AE116" s="113"/>
      <c r="AF116" s="113"/>
      <c r="AG116" s="113"/>
      <c r="AH116" s="113"/>
      <c r="AI116" s="220"/>
      <c r="AJ116" s="221"/>
      <c r="AK116" s="221"/>
      <c r="AL116" s="221"/>
      <c r="AM116" s="221"/>
      <c r="AN116" s="222"/>
      <c r="AO116" s="196"/>
      <c r="AP116" s="197"/>
      <c r="AQ116" s="198"/>
    </row>
    <row r="117" spans="1:43" ht="12.75" customHeight="1">
      <c r="A117" s="266"/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8"/>
      <c r="T117" s="205">
        <f>AO118</f>
      </c>
      <c r="U117" s="206"/>
      <c r="V117" s="207"/>
      <c r="W117" s="204">
        <f>IF(T117="","",CONCATENATE(AC117," ",AI117))</f>
      </c>
      <c r="X117" s="204"/>
      <c r="Y117" s="204"/>
      <c r="Z117" s="204"/>
      <c r="AA117" s="204"/>
      <c r="AB117" s="204"/>
      <c r="AI117" s="214">
        <f>IF($Q$8=$AI$9,CONCATENATE("4.) ",'Großmeister Zusatz'!G11," ","&amp;"," ",'Großmeister Zusatz'!G12),IF($Q$8=$AI$10,CONCATENATE("4.) ",'Großmeister Zusatz'!G11," ","&amp;"," ",'Großmeister Zusatz'!G12),IF($Q$8=$AI$11,CONCATENATE("4.) ",'Großmeister Zusatz'!G11," ","&amp;"," ",'Großmeister Zusatz'!G12),IF($Q$8=$AI$12,CONCATENATE("4.) ",'Großmeister Zusatz'!G11," ","&amp;"," ",'Großmeister Zusatz'!G12),IF($Q$8=$AI$13,CONCATENATE("4.) ",'Großmeister Zusatz'!G11," ","&amp;"," ",'Großmeister Zusatz'!G12),AI119)))))</f>
      </c>
      <c r="AJ117" s="215"/>
      <c r="AK117" s="215"/>
      <c r="AL117" s="215"/>
      <c r="AM117" s="215"/>
      <c r="AN117" s="216"/>
      <c r="AO117" s="190"/>
      <c r="AP117" s="191"/>
      <c r="AQ117" s="192"/>
    </row>
    <row r="118" spans="1:43" ht="12.75" customHeight="1">
      <c r="A118" s="266"/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8"/>
      <c r="T118" s="208"/>
      <c r="U118" s="209"/>
      <c r="V118" s="210"/>
      <c r="W118" s="204"/>
      <c r="X118" s="204"/>
      <c r="Y118" s="204"/>
      <c r="Z118" s="204"/>
      <c r="AA118" s="204"/>
      <c r="AB118" s="204"/>
      <c r="AI118" s="217"/>
      <c r="AJ118" s="218"/>
      <c r="AK118" s="218"/>
      <c r="AL118" s="218"/>
      <c r="AM118" s="218"/>
      <c r="AN118" s="219"/>
      <c r="AO118" s="193">
        <f>IF(OR($K$43=AK36,$K$44=AK36,$K$45=AK36,$K$46=AK36,$K$47=AK36,$K$48=AK36,$K$49=AK36,$K$50=AK36,$K$51=AK36,$K$52=AK36,$K$53=AK36,$K$54=AK36),"Kai-Alchemie","")</f>
      </c>
      <c r="AP118" s="194"/>
      <c r="AQ118" s="195"/>
    </row>
    <row r="119" spans="1:43" ht="12.75" customHeight="1">
      <c r="A119" s="266"/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8"/>
      <c r="T119" s="208"/>
      <c r="U119" s="209"/>
      <c r="V119" s="210"/>
      <c r="W119" s="204"/>
      <c r="X119" s="204"/>
      <c r="Y119" s="204"/>
      <c r="Z119" s="204"/>
      <c r="AA119" s="204"/>
      <c r="AB119" s="204"/>
      <c r="AI119" s="217">
        <f>IF($Q$8=$AI$14,CONCATENATE("4.) ",'Großmeister Zusatz'!G11," ","&amp;"," ",'Großmeister Zusatz'!G12),IF($Q$8=$AI$15,CONCATENATE("4.) ",'Großmeister Zusatz'!G11," ","&amp;"," ",'Großmeister Zusatz'!G12),""))</f>
      </c>
      <c r="AJ119" s="218"/>
      <c r="AK119" s="218"/>
      <c r="AL119" s="218"/>
      <c r="AM119" s="218"/>
      <c r="AN119" s="219"/>
      <c r="AO119" s="193"/>
      <c r="AP119" s="194"/>
      <c r="AQ119" s="195"/>
    </row>
    <row r="120" spans="1:43" ht="12.75" customHeight="1">
      <c r="A120" s="153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5"/>
      <c r="T120" s="208"/>
      <c r="U120" s="209"/>
      <c r="V120" s="210"/>
      <c r="W120" s="204"/>
      <c r="X120" s="204"/>
      <c r="Y120" s="204"/>
      <c r="Z120" s="204"/>
      <c r="AA120" s="204"/>
      <c r="AB120" s="204"/>
      <c r="AI120" s="217"/>
      <c r="AJ120" s="218"/>
      <c r="AK120" s="218"/>
      <c r="AL120" s="218"/>
      <c r="AM120" s="218"/>
      <c r="AN120" s="219"/>
      <c r="AO120" s="193"/>
      <c r="AP120" s="194"/>
      <c r="AQ120" s="195"/>
    </row>
    <row r="121" spans="1:43" ht="12.75" customHeight="1">
      <c r="A121" s="266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8"/>
      <c r="T121" s="211"/>
      <c r="U121" s="212"/>
      <c r="V121" s="213"/>
      <c r="W121" s="204"/>
      <c r="X121" s="204"/>
      <c r="Y121" s="204"/>
      <c r="Z121" s="204"/>
      <c r="AA121" s="204"/>
      <c r="AB121" s="204"/>
      <c r="AI121" s="220"/>
      <c r="AJ121" s="221"/>
      <c r="AK121" s="221"/>
      <c r="AL121" s="221"/>
      <c r="AM121" s="221"/>
      <c r="AN121" s="222"/>
      <c r="AO121" s="196"/>
      <c r="AP121" s="197"/>
      <c r="AQ121" s="198"/>
    </row>
    <row r="122" ht="12.75" customHeight="1"/>
    <row r="124" spans="1:9" ht="12.75" customHeight="1">
      <c r="A124" s="175"/>
      <c r="B124" s="175"/>
      <c r="C124" s="175"/>
      <c r="D124" s="175"/>
      <c r="E124" s="175"/>
      <c r="F124" s="175"/>
      <c r="G124" s="175"/>
      <c r="H124" s="176"/>
      <c r="I124" s="61"/>
    </row>
    <row r="125" spans="1:9" ht="12.75" customHeight="1">
      <c r="A125" s="24"/>
      <c r="B125" s="175"/>
      <c r="C125" s="175"/>
      <c r="D125" s="175"/>
      <c r="E125" s="175"/>
      <c r="F125" s="175"/>
      <c r="G125" s="175"/>
      <c r="H125" s="24"/>
      <c r="I125" s="59"/>
    </row>
    <row r="126" spans="1:9" ht="12.75" customHeight="1">
      <c r="A126" s="175"/>
      <c r="B126" s="175"/>
      <c r="C126" s="175"/>
      <c r="D126" s="175"/>
      <c r="E126" s="175"/>
      <c r="F126" s="175"/>
      <c r="G126" s="175"/>
      <c r="H126" s="176"/>
      <c r="I126" s="56"/>
    </row>
    <row r="127" spans="1:9" ht="12.75">
      <c r="A127" s="24"/>
      <c r="B127" s="24"/>
      <c r="C127" s="24"/>
      <c r="D127" s="24"/>
      <c r="E127" s="24"/>
      <c r="F127" s="24"/>
      <c r="G127" s="24"/>
      <c r="H127" s="24"/>
      <c r="I127" s="57"/>
    </row>
    <row r="128" ht="12.75">
      <c r="I128" s="60"/>
    </row>
    <row r="129" ht="12.75">
      <c r="I129" s="59"/>
    </row>
    <row r="130" ht="12.75">
      <c r="I130" s="59"/>
    </row>
    <row r="131" ht="12.75">
      <c r="I131" s="59"/>
    </row>
    <row r="132" ht="12.75">
      <c r="I132" s="59"/>
    </row>
    <row r="133" ht="12.75">
      <c r="I133" s="59"/>
    </row>
  </sheetData>
  <sheetProtection/>
  <mergeCells count="347">
    <mergeCell ref="AR67:AW68"/>
    <mergeCell ref="AR69:AW71"/>
    <mergeCell ref="AR72:AW73"/>
    <mergeCell ref="AR75:AW76"/>
    <mergeCell ref="AI117:AN118"/>
    <mergeCell ref="AI119:AN121"/>
    <mergeCell ref="AI102:AN103"/>
    <mergeCell ref="AI104:AN106"/>
    <mergeCell ref="AI107:AN108"/>
    <mergeCell ref="AI109:AN111"/>
    <mergeCell ref="AI112:AN113"/>
    <mergeCell ref="AI114:AN116"/>
    <mergeCell ref="AI87:AN88"/>
    <mergeCell ref="AI89:AN91"/>
    <mergeCell ref="AI92:AN93"/>
    <mergeCell ref="AI94:AN96"/>
    <mergeCell ref="AI97:AN98"/>
    <mergeCell ref="AI99:AN101"/>
    <mergeCell ref="AI72:AN73"/>
    <mergeCell ref="AI74:AN76"/>
    <mergeCell ref="AI77:AN78"/>
    <mergeCell ref="AI79:AN81"/>
    <mergeCell ref="AI82:AN83"/>
    <mergeCell ref="AI84:AN86"/>
    <mergeCell ref="S25:S27"/>
    <mergeCell ref="X25:X27"/>
    <mergeCell ref="S21:S23"/>
    <mergeCell ref="O9:P9"/>
    <mergeCell ref="AC67:AH71"/>
    <mergeCell ref="U29:W29"/>
    <mergeCell ref="A59:R60"/>
    <mergeCell ref="K49:R49"/>
    <mergeCell ref="K52:R52"/>
    <mergeCell ref="K48:R48"/>
    <mergeCell ref="X33:X35"/>
    <mergeCell ref="U31:W31"/>
    <mergeCell ref="Z49:AB49"/>
    <mergeCell ref="E56:F56"/>
    <mergeCell ref="A99:R99"/>
    <mergeCell ref="U45:W45"/>
    <mergeCell ref="J40:P40"/>
    <mergeCell ref="A119:R119"/>
    <mergeCell ref="A111:R111"/>
    <mergeCell ref="C54:E54"/>
    <mergeCell ref="A101:R101"/>
    <mergeCell ref="A102:R102"/>
    <mergeCell ref="K50:R50"/>
    <mergeCell ref="E58:F58"/>
    <mergeCell ref="J63:R63"/>
    <mergeCell ref="A103:R103"/>
    <mergeCell ref="AC82:AH86"/>
    <mergeCell ref="AC87:AH91"/>
    <mergeCell ref="AC92:AH96"/>
    <mergeCell ref="AC72:AH76"/>
    <mergeCell ref="U49:W49"/>
    <mergeCell ref="AC97:AH101"/>
    <mergeCell ref="AC62:AH66"/>
    <mergeCell ref="W72:AB76"/>
    <mergeCell ref="T62:V66"/>
    <mergeCell ref="AC77:AH81"/>
    <mergeCell ref="AB3:AB4"/>
    <mergeCell ref="W97:AB101"/>
    <mergeCell ref="F53:H53"/>
    <mergeCell ref="K31:R31"/>
    <mergeCell ref="Z51:AB51"/>
    <mergeCell ref="C36:H36"/>
    <mergeCell ref="U47:W47"/>
    <mergeCell ref="A3:F3"/>
    <mergeCell ref="Z14:AB14"/>
    <mergeCell ref="U54:W54"/>
    <mergeCell ref="C45:E45"/>
    <mergeCell ref="A96:R96"/>
    <mergeCell ref="A84:R84"/>
    <mergeCell ref="C28:H28"/>
    <mergeCell ref="A74:R74"/>
    <mergeCell ref="C31:H31"/>
    <mergeCell ref="A86:R86"/>
    <mergeCell ref="A93:R93"/>
    <mergeCell ref="C29:H29"/>
    <mergeCell ref="J67:R67"/>
    <mergeCell ref="K44:R44"/>
    <mergeCell ref="J71:R71"/>
    <mergeCell ref="J66:R66"/>
    <mergeCell ref="J37:P37"/>
    <mergeCell ref="F50:H50"/>
    <mergeCell ref="F46:H46"/>
    <mergeCell ref="F47:H47"/>
    <mergeCell ref="A71:H71"/>
    <mergeCell ref="A63:H63"/>
    <mergeCell ref="F51:H51"/>
    <mergeCell ref="O4:P4"/>
    <mergeCell ref="Z38:AB38"/>
    <mergeCell ref="C48:E48"/>
    <mergeCell ref="M10:P10"/>
    <mergeCell ref="K18:R18"/>
    <mergeCell ref="F52:H52"/>
    <mergeCell ref="F41:H41"/>
    <mergeCell ref="Z46:AB46"/>
    <mergeCell ref="K45:R45"/>
    <mergeCell ref="U15:W15"/>
    <mergeCell ref="B5:E5"/>
    <mergeCell ref="K19:R19"/>
    <mergeCell ref="U30:W30"/>
    <mergeCell ref="K26:R26"/>
    <mergeCell ref="U25:W25"/>
    <mergeCell ref="U18:W18"/>
    <mergeCell ref="O6:P6"/>
    <mergeCell ref="O8:P8"/>
    <mergeCell ref="K30:R30"/>
    <mergeCell ref="C23:E23"/>
    <mergeCell ref="B13:H13"/>
    <mergeCell ref="T6:W6"/>
    <mergeCell ref="K22:R22"/>
    <mergeCell ref="A12:H12"/>
    <mergeCell ref="A72:H72"/>
    <mergeCell ref="J69:R69"/>
    <mergeCell ref="J72:R72"/>
    <mergeCell ref="W67:AB71"/>
    <mergeCell ref="F43:H43"/>
    <mergeCell ref="B6:E6"/>
    <mergeCell ref="A92:R92"/>
    <mergeCell ref="A94:R94"/>
    <mergeCell ref="A81:R81"/>
    <mergeCell ref="A75:R75"/>
    <mergeCell ref="A87:R87"/>
    <mergeCell ref="A82:R82"/>
    <mergeCell ref="A83:R83"/>
    <mergeCell ref="S13:S15"/>
    <mergeCell ref="U13:W13"/>
    <mergeCell ref="U38:W38"/>
    <mergeCell ref="U19:W19"/>
    <mergeCell ref="J36:R36"/>
    <mergeCell ref="Z39:AB39"/>
    <mergeCell ref="S29:S31"/>
    <mergeCell ref="S17:S19"/>
    <mergeCell ref="Z29:AB29"/>
    <mergeCell ref="K13:R13"/>
    <mergeCell ref="C50:E50"/>
    <mergeCell ref="J57:N57"/>
    <mergeCell ref="O57:R57"/>
    <mergeCell ref="Z34:AB34"/>
    <mergeCell ref="X37:X39"/>
    <mergeCell ref="U39:W39"/>
    <mergeCell ref="C42:E42"/>
    <mergeCell ref="K54:R54"/>
    <mergeCell ref="C47:E47"/>
    <mergeCell ref="S41:S43"/>
    <mergeCell ref="A39:H39"/>
    <mergeCell ref="C37:H37"/>
    <mergeCell ref="A26:H26"/>
    <mergeCell ref="F44:H44"/>
    <mergeCell ref="C44:E44"/>
    <mergeCell ref="K15:R15"/>
    <mergeCell ref="J38:P38"/>
    <mergeCell ref="C22:E22"/>
    <mergeCell ref="B27:C27"/>
    <mergeCell ref="K28:R28"/>
    <mergeCell ref="AI24:AK24"/>
    <mergeCell ref="D4:E4"/>
    <mergeCell ref="B14:H14"/>
    <mergeCell ref="W3:Y3"/>
    <mergeCell ref="A116:R116"/>
    <mergeCell ref="Z54:AB54"/>
    <mergeCell ref="C33:H33"/>
    <mergeCell ref="B4:C4"/>
    <mergeCell ref="Z27:AB27"/>
    <mergeCell ref="C49:E49"/>
    <mergeCell ref="A1:R2"/>
    <mergeCell ref="Z45:AB45"/>
    <mergeCell ref="J39:P39"/>
    <mergeCell ref="X49:X51"/>
    <mergeCell ref="K46:R46"/>
    <mergeCell ref="A121:R121"/>
    <mergeCell ref="K17:R17"/>
    <mergeCell ref="Q8:R8"/>
    <mergeCell ref="O7:P7"/>
    <mergeCell ref="C53:E53"/>
    <mergeCell ref="Y9:AA9"/>
    <mergeCell ref="Y7:AA7"/>
    <mergeCell ref="A98:R98"/>
    <mergeCell ref="A67:H67"/>
    <mergeCell ref="S37:S39"/>
    <mergeCell ref="U43:W43"/>
    <mergeCell ref="S49:S51"/>
    <mergeCell ref="T11:AB12"/>
    <mergeCell ref="A69:H69"/>
    <mergeCell ref="F40:H40"/>
    <mergeCell ref="Q3:R3"/>
    <mergeCell ref="W107:AB111"/>
    <mergeCell ref="U37:W37"/>
    <mergeCell ref="Z23:AB23"/>
    <mergeCell ref="U14:W14"/>
    <mergeCell ref="Y6:AB6"/>
    <mergeCell ref="K32:R32"/>
    <mergeCell ref="Z53:AB53"/>
    <mergeCell ref="Z19:AB19"/>
    <mergeCell ref="K27:R27"/>
    <mergeCell ref="Q4:R4"/>
    <mergeCell ref="Z17:AB17"/>
    <mergeCell ref="U17:W17"/>
    <mergeCell ref="T8:V8"/>
    <mergeCell ref="T9:V9"/>
    <mergeCell ref="Q7:R7"/>
    <mergeCell ref="T7:V7"/>
    <mergeCell ref="X13:X15"/>
    <mergeCell ref="Z13:AB13"/>
    <mergeCell ref="K14:R14"/>
    <mergeCell ref="Q6:R6"/>
    <mergeCell ref="J3:P3"/>
    <mergeCell ref="Z41:AB41"/>
    <mergeCell ref="Q5:R5"/>
    <mergeCell ref="J64:R64"/>
    <mergeCell ref="A56:D56"/>
    <mergeCell ref="F54:H54"/>
    <mergeCell ref="A58:D58"/>
    <mergeCell ref="J12:R12"/>
    <mergeCell ref="A64:H64"/>
    <mergeCell ref="Z15:AB15"/>
    <mergeCell ref="J68:R68"/>
    <mergeCell ref="C51:E51"/>
    <mergeCell ref="O58:Q58"/>
    <mergeCell ref="A68:H68"/>
    <mergeCell ref="Z50:AB50"/>
    <mergeCell ref="X29:X31"/>
    <mergeCell ref="K43:R43"/>
    <mergeCell ref="Z21:AB21"/>
    <mergeCell ref="U21:W21"/>
    <mergeCell ref="A106:R106"/>
    <mergeCell ref="K33:R33"/>
    <mergeCell ref="U27:W27"/>
    <mergeCell ref="U46:W46"/>
    <mergeCell ref="F48:H48"/>
    <mergeCell ref="F49:H49"/>
    <mergeCell ref="K51:R51"/>
    <mergeCell ref="A66:H66"/>
    <mergeCell ref="C52:E52"/>
    <mergeCell ref="K29:R29"/>
    <mergeCell ref="A118:R118"/>
    <mergeCell ref="B7:E7"/>
    <mergeCell ref="A88:R88"/>
    <mergeCell ref="K16:R16"/>
    <mergeCell ref="A19:H19"/>
    <mergeCell ref="Z42:AB42"/>
    <mergeCell ref="U22:W22"/>
    <mergeCell ref="A108:R108"/>
    <mergeCell ref="A109:R109"/>
    <mergeCell ref="A112:R112"/>
    <mergeCell ref="A97:R97"/>
    <mergeCell ref="W62:AB66"/>
    <mergeCell ref="A113:R113"/>
    <mergeCell ref="Z26:AB26"/>
    <mergeCell ref="AA3:AA4"/>
    <mergeCell ref="Z55:AB55"/>
    <mergeCell ref="U53:W53"/>
    <mergeCell ref="Y8:AA8"/>
    <mergeCell ref="X45:X47"/>
    <mergeCell ref="A107:R107"/>
    <mergeCell ref="W77:AB81"/>
    <mergeCell ref="K20:R20"/>
    <mergeCell ref="S59:AB60"/>
    <mergeCell ref="Z18:AB18"/>
    <mergeCell ref="Z25:AB25"/>
    <mergeCell ref="K21:R21"/>
    <mergeCell ref="Z43:AB43"/>
    <mergeCell ref="J56:R56"/>
    <mergeCell ref="K47:R47"/>
    <mergeCell ref="A73:R73"/>
    <mergeCell ref="X17:X19"/>
    <mergeCell ref="W82:AB86"/>
    <mergeCell ref="X41:X43"/>
    <mergeCell ref="A76:R76"/>
    <mergeCell ref="A78:R78"/>
    <mergeCell ref="U41:W41"/>
    <mergeCell ref="U33:W33"/>
    <mergeCell ref="U35:W35"/>
    <mergeCell ref="F45:H45"/>
    <mergeCell ref="Z33:AB33"/>
    <mergeCell ref="A117:R117"/>
    <mergeCell ref="A114:R114"/>
    <mergeCell ref="A104:R104"/>
    <mergeCell ref="U50:W50"/>
    <mergeCell ref="C40:E40"/>
    <mergeCell ref="S33:S35"/>
    <mergeCell ref="J42:R42"/>
    <mergeCell ref="T117:V121"/>
    <mergeCell ref="W112:AB116"/>
    <mergeCell ref="U42:W42"/>
    <mergeCell ref="E17:H17"/>
    <mergeCell ref="E16:F16"/>
    <mergeCell ref="A62:R62"/>
    <mergeCell ref="A79:R79"/>
    <mergeCell ref="X53:X55"/>
    <mergeCell ref="Z47:AB47"/>
    <mergeCell ref="C46:E46"/>
    <mergeCell ref="U26:W26"/>
    <mergeCell ref="C24:E24"/>
    <mergeCell ref="Z30:AB30"/>
    <mergeCell ref="C20:E20"/>
    <mergeCell ref="Z37:AB37"/>
    <mergeCell ref="AF24:AH24"/>
    <mergeCell ref="C43:E43"/>
    <mergeCell ref="K25:R25"/>
    <mergeCell ref="C30:H30"/>
    <mergeCell ref="Z31:AB31"/>
    <mergeCell ref="C35:H35"/>
    <mergeCell ref="J24:R24"/>
    <mergeCell ref="K34:R34"/>
    <mergeCell ref="J58:M58"/>
    <mergeCell ref="C32:H32"/>
    <mergeCell ref="X21:X23"/>
    <mergeCell ref="C41:E41"/>
    <mergeCell ref="F42:H42"/>
    <mergeCell ref="U23:W23"/>
    <mergeCell ref="S45:S47"/>
    <mergeCell ref="U51:W51"/>
    <mergeCell ref="U34:W34"/>
    <mergeCell ref="U55:W55"/>
    <mergeCell ref="AC11:AF11"/>
    <mergeCell ref="S1:AB2"/>
    <mergeCell ref="C21:E21"/>
    <mergeCell ref="S53:S55"/>
    <mergeCell ref="O5:P5"/>
    <mergeCell ref="C34:H34"/>
    <mergeCell ref="K53:R53"/>
    <mergeCell ref="Z35:AB35"/>
    <mergeCell ref="B15:H15"/>
    <mergeCell ref="Z22:AB22"/>
    <mergeCell ref="AI62:AN63"/>
    <mergeCell ref="AI64:AN66"/>
    <mergeCell ref="AI67:AN68"/>
    <mergeCell ref="AI69:AN71"/>
    <mergeCell ref="T102:V106"/>
    <mergeCell ref="T112:V116"/>
    <mergeCell ref="W102:AB106"/>
    <mergeCell ref="AC107:AH111"/>
    <mergeCell ref="AC102:AH106"/>
    <mergeCell ref="T107:V111"/>
    <mergeCell ref="W117:AB121"/>
    <mergeCell ref="T67:V71"/>
    <mergeCell ref="T72:V76"/>
    <mergeCell ref="T77:V81"/>
    <mergeCell ref="T82:V86"/>
    <mergeCell ref="T87:V91"/>
    <mergeCell ref="T92:V96"/>
    <mergeCell ref="T97:V101"/>
    <mergeCell ref="W87:AB91"/>
    <mergeCell ref="W92:AB96"/>
  </mergeCells>
  <conditionalFormatting sqref="J40 Q40:R40">
    <cfRule type="expression" priority="372" dxfId="196">
      <formula>$AF$28</formula>
    </cfRule>
  </conditionalFormatting>
  <conditionalFormatting sqref="Q38:R38 J38">
    <cfRule type="expression" priority="373" dxfId="196">
      <formula>$AF$26</formula>
    </cfRule>
  </conditionalFormatting>
  <conditionalFormatting sqref="J37 Q37:R37">
    <cfRule type="expression" priority="374" dxfId="196">
      <formula>$AF$25</formula>
    </cfRule>
  </conditionalFormatting>
  <conditionalFormatting sqref="K25">
    <cfRule type="expression" priority="375" dxfId="198" stopIfTrue="1">
      <formula>OR($Q$6=$AH$4,$Q$6=$AH$5,$Q$6=$AH$6,$Q$6=$AH$7,$Q$6=$AH$8,$Q$6=$AH$9,$Q$6=$AH$10,$Q$6=$AH$11,$Q$6=$AH$12,$Q$6=$AH$13)</formula>
    </cfRule>
  </conditionalFormatting>
  <conditionalFormatting sqref="K26">
    <cfRule type="expression" priority="376" dxfId="198" stopIfTrue="1">
      <formula>OR($Q$6=$AH$5,$Q$6=$AH$6,$Q$6=$AH$7,$Q$6=$AH$8,$Q$6=$AH$9,$Q$6=$AH$10,$Q$6=$AH$11,$Q$6=$AH$12,$Q$6=$AH$13)</formula>
    </cfRule>
  </conditionalFormatting>
  <conditionalFormatting sqref="K28">
    <cfRule type="expression" priority="377" dxfId="198" stopIfTrue="1">
      <formula>OR($Q$6=$AH$7,$Q$6=$AH$8,$Q$6=$AH$9,$Q$6=$AH$10,$Q$6=$AH$11,$Q$6=$AH$12,$Q$6=$AH$13)</formula>
    </cfRule>
  </conditionalFormatting>
  <conditionalFormatting sqref="K34">
    <cfRule type="expression" priority="378" dxfId="198" stopIfTrue="1">
      <formula>OR($Q$6=$AH$13)</formula>
    </cfRule>
  </conditionalFormatting>
  <conditionalFormatting sqref="K33">
    <cfRule type="expression" priority="379" dxfId="198" stopIfTrue="1">
      <formula>OR($Q$6=$AH$12,$Q$6=$AH$13)</formula>
    </cfRule>
  </conditionalFormatting>
  <conditionalFormatting sqref="K32">
    <cfRule type="expression" priority="380" dxfId="198" stopIfTrue="1">
      <formula>OR($Q$6=$AH$11,$Q$6=$AH$12,$Q$6=$AH$13)</formula>
    </cfRule>
  </conditionalFormatting>
  <conditionalFormatting sqref="K31">
    <cfRule type="expression" priority="381" dxfId="198" stopIfTrue="1">
      <formula>OR($Q$6=$AH$10,$Q$6=$AH$11,$Q$6=$AH$12,$Q$6=$AH$13)</formula>
    </cfRule>
  </conditionalFormatting>
  <conditionalFormatting sqref="K30">
    <cfRule type="expression" priority="382" dxfId="198" stopIfTrue="1">
      <formula>OR($Q$6=$AH$9,$Q$6=$AH$10,$Q$6=$AH$11,$Q$6=$AH$12,$Q$6=$AH$13)</formula>
    </cfRule>
  </conditionalFormatting>
  <conditionalFormatting sqref="K29">
    <cfRule type="expression" priority="383" dxfId="198" stopIfTrue="1">
      <formula>OR($Q$6=$AH$8,$Q$6=$AH$9,$Q$6=$AH$10,$Q$6=$AH$11,$Q$6=$AH$12,$Q$6=$AH$13)</formula>
    </cfRule>
  </conditionalFormatting>
  <conditionalFormatting sqref="K27">
    <cfRule type="expression" priority="384" dxfId="198" stopIfTrue="1">
      <formula>OR($Q$6=$AH$6,$Q$6=$AH$7,$Q$6=$AH$8,$Q$6=$AH$9,$Q$6=$AH$10,$Q$6=$AH$11,$Q$6=$AH$12,$Q$6=$AH$13)</formula>
    </cfRule>
  </conditionalFormatting>
  <conditionalFormatting sqref="K13">
    <cfRule type="expression" priority="393" dxfId="198" stopIfTrue="1">
      <formula>OR($Q$4=$AG$4,$Q$4=$AG$5,$Q$4=$AG$6,$Q$4=$AG$7,$Q$4=$AG$8,$Q$4=$AG$9,$Q$4=$AG$10,$Q$4=$AG$11,$Q$4=$AG$12,$Q$4=$AG$13)</formula>
    </cfRule>
  </conditionalFormatting>
  <conditionalFormatting sqref="K14">
    <cfRule type="expression" priority="394" dxfId="198" stopIfTrue="1">
      <formula>OR($Q$4=$AG$5,$Q$4=$AG$6,$Q$4=$AG$7,$Q$4=$AG$8,$Q$4=$AG$9,$Q$4=$AG$10,$Q$4=$AG$11,$Q$4=$AG$12,$Q$4=$AG$13)</formula>
    </cfRule>
  </conditionalFormatting>
  <conditionalFormatting sqref="K15">
    <cfRule type="expression" priority="395" dxfId="198" stopIfTrue="1">
      <formula>OR($Q$4=$AG$6,$Q$4=$AG$7,$Q$4=$AG$8,$Q$4=$AG$9,$Q$4=$AG$10,$Q$4=$AG$11,$Q$4=$AG$12,$Q$4=$AG$13)</formula>
    </cfRule>
  </conditionalFormatting>
  <conditionalFormatting sqref="K16">
    <cfRule type="expression" priority="396" dxfId="198" stopIfTrue="1">
      <formula>OR($Q$4=$AG$7,$Q$4=$AG$8,$Q$4=$AG$9,$Q$4=$AG$10,$Q$4=$AG$11,$Q$4=$AG$12,$Q$4=$AG$13)</formula>
    </cfRule>
  </conditionalFormatting>
  <conditionalFormatting sqref="K17">
    <cfRule type="expression" priority="397" dxfId="198" stopIfTrue="1">
      <formula>OR($Q$4=$AG$8,$Q$4=$AG$9,$Q$4=$AG$10,$Q$4=$AG$11,$Q$4=$AG$12,$Q$4=$AG$13)</formula>
    </cfRule>
  </conditionalFormatting>
  <conditionalFormatting sqref="K18">
    <cfRule type="expression" priority="398" dxfId="198" stopIfTrue="1">
      <formula>OR($Q$4=$AG$9,$Q$4=$AG$10,$Q$4=$AG$11,$Q$4=$AG$12,$Q$4=$AG$13)</formula>
    </cfRule>
  </conditionalFormatting>
  <conditionalFormatting sqref="K19">
    <cfRule type="expression" priority="399" dxfId="198" stopIfTrue="1">
      <formula>OR($Q$4=$AG$10,$Q$4=$AG$11,$Q$4=$AG$12,$Q$4=$AG$13)</formula>
    </cfRule>
  </conditionalFormatting>
  <conditionalFormatting sqref="K20">
    <cfRule type="expression" priority="400" dxfId="198" stopIfTrue="1">
      <formula>OR($Q$4=$AG$11,$Q$4=$AG$12,$Q$4=$AG$13)</formula>
    </cfRule>
  </conditionalFormatting>
  <conditionalFormatting sqref="K21">
    <cfRule type="expression" priority="401" dxfId="198" stopIfTrue="1">
      <formula>OR($Q$4=$AG$12,$Q$4=$AG$13)</formula>
    </cfRule>
  </conditionalFormatting>
  <conditionalFormatting sqref="K22">
    <cfRule type="expression" priority="402" dxfId="198" stopIfTrue="1">
      <formula>OR($Q$4=$AG$13)</formula>
    </cfRule>
  </conditionalFormatting>
  <conditionalFormatting sqref="E16:F16">
    <cfRule type="expression" priority="403" dxfId="193" stopIfTrue="1">
      <formula>$D$16="x"</formula>
    </cfRule>
  </conditionalFormatting>
  <conditionalFormatting sqref="J39 Q39:R39">
    <cfRule type="expression" priority="419" dxfId="196">
      <formula>$AF$27</formula>
    </cfRule>
  </conditionalFormatting>
  <conditionalFormatting sqref="Q6 Q8">
    <cfRule type="cellIs" priority="438" dxfId="193" operator="equal" stopIfTrue="1">
      <formula>$AH$7</formula>
    </cfRule>
    <cfRule type="expression" priority="439" dxfId="194" stopIfTrue="1">
      <formula>$K$28</formula>
    </cfRule>
  </conditionalFormatting>
  <conditionalFormatting sqref="I124 H16">
    <cfRule type="expression" priority="489" dxfId="193" stopIfTrue="1">
      <formula>$G$16="x"</formula>
    </cfRule>
  </conditionalFormatting>
  <conditionalFormatting sqref="A28:H29">
    <cfRule type="expression" priority="251" dxfId="192" stopIfTrue="1">
      <formula>$Q$8=""</formula>
    </cfRule>
  </conditionalFormatting>
  <conditionalFormatting sqref="K43:R43">
    <cfRule type="expression" priority="203" dxfId="180" stopIfTrue="1">
      <formula>OR($Q$8=$AI$4,$Q$8=$AI$5,$Q$8=$AI$6,$Q$8=$AI$7,$Q$8=$AI$8,$Q$8=$AI$9,$Q$8=$AI$10,$Q$8=$AI$11,$Q$8=$AI$12,$Q$8=$AI$13,$Q$8=$AI$14,$Q$8=$AI$15)</formula>
    </cfRule>
  </conditionalFormatting>
  <conditionalFormatting sqref="K44:R44">
    <cfRule type="expression" priority="202" dxfId="180" stopIfTrue="1">
      <formula>OR($Q$8=$AI$5,$Q$8=$AI$6,$Q$8=$AI$7,$Q$8=$AI$8,$Q$8=$AI$9,$Q$8=$AI$10,$Q$8=$AI$11,$Q$8=$AI$12,$Q$8=$AI$13,$Q$8=$AI$14,$Q$8=$AI$15)</formula>
    </cfRule>
  </conditionalFormatting>
  <conditionalFormatting sqref="K45:R45">
    <cfRule type="expression" priority="201" dxfId="180" stopIfTrue="1">
      <formula>OR($Q$8=$AI$6,$Q$8=$AI$7,$Q$8=$AI$8,$Q$8=$AI$9,$Q$8=$AI$10,$Q$8=$AI$11,$Q$8=$AI$12,$Q$8=$AI$13,$Q$8=$AI$14,$Q$8=$AI$15)</formula>
    </cfRule>
  </conditionalFormatting>
  <conditionalFormatting sqref="K46:R46">
    <cfRule type="expression" priority="200" dxfId="180" stopIfTrue="1">
      <formula>OR($Q$8=$AI$7,$Q$8=$AI$8,$Q$8=$AI$9,$Q$8=$AI$10,$Q$8=$AI$11,$Q$8=$AI$12,$Q$8=$AI$13,$Q$8=$AI$14,$Q$8=$AI$15)</formula>
    </cfRule>
  </conditionalFormatting>
  <conditionalFormatting sqref="K47:R47">
    <cfRule type="expression" priority="199" dxfId="180" stopIfTrue="1">
      <formula>OR($Q$8=$AI$8,$Q$8=$AI$9,$Q$8=$AI$10,$Q$8=$AI$11,$Q$8=$AI$12,$Q$8=$AI$13,$Q$8=$AI$14,$Q$8=$AI$15)</formula>
    </cfRule>
  </conditionalFormatting>
  <conditionalFormatting sqref="K48:R48">
    <cfRule type="expression" priority="198" dxfId="180" stopIfTrue="1">
      <formula>OR($Q$8=$AI$9,$Q$8=$AI$10,$Q$8=$AI$11,$Q$8=$AI$12,$Q$8=$AI$13,$Q$8=$AI$14,$Q$8=$AI$15)</formula>
    </cfRule>
  </conditionalFormatting>
  <conditionalFormatting sqref="K49:R49">
    <cfRule type="expression" priority="197" dxfId="180" stopIfTrue="1">
      <formula>OR($Q$8=$AI$10,$Q$8=$AI$11,$Q$8=$AI$12,$Q$8=$AI$13,$Q$8=$AI$14,$Q$8=$AI$15)</formula>
    </cfRule>
  </conditionalFormatting>
  <conditionalFormatting sqref="K50:R50">
    <cfRule type="expression" priority="196" dxfId="180" stopIfTrue="1">
      <formula>OR($Q$8=$AI$11,$Q$8=$AI$12,$Q$8=$AI$13,$Q$8=$AI$14,$Q$8=$AI$15)</formula>
    </cfRule>
  </conditionalFormatting>
  <conditionalFormatting sqref="K51:R51">
    <cfRule type="expression" priority="195" dxfId="180" stopIfTrue="1">
      <formula>OR($Q$8=$AI$12,$Q$8=$AI$13,$Q$8=$AI$14,$Q$8=$AI$15)</formula>
    </cfRule>
  </conditionalFormatting>
  <conditionalFormatting sqref="K52:R52">
    <cfRule type="expression" priority="194" dxfId="180" stopIfTrue="1">
      <formula>OR($Q$8=$AI$13,$Q$8=$AI$14,$Q$8=$AI$15)</formula>
    </cfRule>
  </conditionalFormatting>
  <conditionalFormatting sqref="K53:R53">
    <cfRule type="expression" priority="193" dxfId="180" stopIfTrue="1">
      <formula>OR($Q$8=$AI$14,$Q$8=$AI$15)</formula>
    </cfRule>
  </conditionalFormatting>
  <conditionalFormatting sqref="K54:R54">
    <cfRule type="expression" priority="192" dxfId="180" stopIfTrue="1">
      <formula>OR($Q$8=$AI$15)</formula>
    </cfRule>
  </conditionalFormatting>
  <conditionalFormatting sqref="C28:H37">
    <cfRule type="expression" priority="540" dxfId="170" stopIfTrue="1">
      <formula>$D$27=10</formula>
    </cfRule>
  </conditionalFormatting>
  <conditionalFormatting sqref="C29:H37">
    <cfRule type="expression" priority="541" dxfId="170" stopIfTrue="1">
      <formula>$D$27=9</formula>
    </cfRule>
  </conditionalFormatting>
  <conditionalFormatting sqref="C30:H37">
    <cfRule type="expression" priority="542" dxfId="170" stopIfTrue="1">
      <formula>$D$27=8</formula>
    </cfRule>
  </conditionalFormatting>
  <conditionalFormatting sqref="C31:H37">
    <cfRule type="expression" priority="543" dxfId="170" stopIfTrue="1">
      <formula>$D$27=7</formula>
    </cfRule>
  </conditionalFormatting>
  <conditionalFormatting sqref="C32:H37">
    <cfRule type="expression" priority="544" dxfId="170" stopIfTrue="1">
      <formula>$D$27=6</formula>
    </cfRule>
  </conditionalFormatting>
  <conditionalFormatting sqref="C33:H37">
    <cfRule type="expression" priority="545" dxfId="170" stopIfTrue="1">
      <formula>$D$27=5</formula>
    </cfRule>
  </conditionalFormatting>
  <conditionalFormatting sqref="C34:H37">
    <cfRule type="expression" priority="546" dxfId="170" stopIfTrue="1">
      <formula>$D$27=4</formula>
    </cfRule>
  </conditionalFormatting>
  <conditionalFormatting sqref="C35:H37">
    <cfRule type="expression" priority="547" dxfId="170" stopIfTrue="1">
      <formula>$D$27=3</formula>
    </cfRule>
  </conditionalFormatting>
  <conditionalFormatting sqref="C36:H37">
    <cfRule type="expression" priority="548" dxfId="170" stopIfTrue="1">
      <formula>$D$27=2</formula>
    </cfRule>
  </conditionalFormatting>
  <conditionalFormatting sqref="C37:H37">
    <cfRule type="expression" priority="549" dxfId="170" stopIfTrue="1">
      <formula>$D$27=1</formula>
    </cfRule>
  </conditionalFormatting>
  <conditionalFormatting sqref="B21:C21">
    <cfRule type="expression" priority="179" dxfId="1" stopIfTrue="1">
      <formula>A21="x"</formula>
    </cfRule>
  </conditionalFormatting>
  <conditionalFormatting sqref="B21:C21">
    <cfRule type="expression" priority="174" dxfId="2" stopIfTrue="1">
      <formula>A21="XXX"</formula>
    </cfRule>
    <cfRule type="expression" priority="175" dxfId="2" stopIfTrue="1">
      <formula>A21="XX"</formula>
    </cfRule>
    <cfRule type="expression" priority="176" dxfId="1" stopIfTrue="1">
      <formula>A21="x"</formula>
    </cfRule>
  </conditionalFormatting>
  <conditionalFormatting sqref="B22:C22">
    <cfRule type="expression" priority="173" dxfId="1" stopIfTrue="1">
      <formula>A22="x"</formula>
    </cfRule>
  </conditionalFormatting>
  <conditionalFormatting sqref="B22:C22">
    <cfRule type="expression" priority="170" dxfId="2" stopIfTrue="1">
      <formula>A22="XXX"</formula>
    </cfRule>
    <cfRule type="expression" priority="171" dxfId="2" stopIfTrue="1">
      <formula>A22="XX"</formula>
    </cfRule>
    <cfRule type="expression" priority="172" dxfId="1" stopIfTrue="1">
      <formula>A22="x"</formula>
    </cfRule>
  </conditionalFormatting>
  <conditionalFormatting sqref="B23:C23">
    <cfRule type="expression" priority="169" dxfId="1" stopIfTrue="1">
      <formula>A23="x"</formula>
    </cfRule>
  </conditionalFormatting>
  <conditionalFormatting sqref="B23:C23">
    <cfRule type="expression" priority="166" dxfId="2" stopIfTrue="1">
      <formula>A23="XXX"</formula>
    </cfRule>
    <cfRule type="expression" priority="167" dxfId="2" stopIfTrue="1">
      <formula>A23="XX"</formula>
    </cfRule>
    <cfRule type="expression" priority="168" dxfId="1" stopIfTrue="1">
      <formula>A23="x"</formula>
    </cfRule>
  </conditionalFormatting>
  <conditionalFormatting sqref="G20:H20">
    <cfRule type="expression" priority="165" dxfId="1" stopIfTrue="1">
      <formula>F20="x"</formula>
    </cfRule>
  </conditionalFormatting>
  <conditionalFormatting sqref="H21">
    <cfRule type="expression" priority="164" dxfId="1" stopIfTrue="1">
      <formula>F21="x"</formula>
    </cfRule>
  </conditionalFormatting>
  <conditionalFormatting sqref="G21">
    <cfRule type="expression" priority="163" dxfId="1" stopIfTrue="1">
      <formula>F21="x"</formula>
    </cfRule>
  </conditionalFormatting>
  <conditionalFormatting sqref="B20">
    <cfRule type="expression" priority="177" dxfId="2" stopIfTrue="1">
      <formula>A20="XXX"</formula>
    </cfRule>
    <cfRule type="expression" priority="178" dxfId="2" stopIfTrue="1">
      <formula>A20="XX"</formula>
    </cfRule>
    <cfRule type="expression" priority="181" dxfId="1" stopIfTrue="1">
      <formula>A20="x"</formula>
    </cfRule>
  </conditionalFormatting>
  <conditionalFormatting sqref="C20:E20">
    <cfRule type="expression" priority="160" dxfId="2" stopIfTrue="1">
      <formula>A20="XXX"</formula>
    </cfRule>
    <cfRule type="expression" priority="161" dxfId="2" stopIfTrue="1">
      <formula>A20="XX"</formula>
    </cfRule>
    <cfRule type="expression" priority="162" dxfId="1" stopIfTrue="1">
      <formula>A20="x"</formula>
    </cfRule>
  </conditionalFormatting>
  <conditionalFormatting sqref="B21">
    <cfRule type="expression" priority="157" dxfId="2" stopIfTrue="1">
      <formula>A21="XXX"</formula>
    </cfRule>
    <cfRule type="expression" priority="158" dxfId="2" stopIfTrue="1">
      <formula>A21="XX"</formula>
    </cfRule>
    <cfRule type="expression" priority="159" dxfId="1" stopIfTrue="1">
      <formula>A21="x"</formula>
    </cfRule>
  </conditionalFormatting>
  <conditionalFormatting sqref="C21">
    <cfRule type="expression" priority="154" dxfId="2" stopIfTrue="1">
      <formula>A21="XXX"</formula>
    </cfRule>
    <cfRule type="expression" priority="155" dxfId="2" stopIfTrue="1">
      <formula>A21="XX"</formula>
    </cfRule>
    <cfRule type="expression" priority="156" dxfId="1" stopIfTrue="1">
      <formula>A21="x"</formula>
    </cfRule>
  </conditionalFormatting>
  <conditionalFormatting sqref="B22:C22">
    <cfRule type="expression" priority="153" dxfId="1" stopIfTrue="1">
      <formula>A22="x"</formula>
    </cfRule>
  </conditionalFormatting>
  <conditionalFormatting sqref="B22:C22">
    <cfRule type="expression" priority="150" dxfId="2" stopIfTrue="1">
      <formula>A22="XXX"</formula>
    </cfRule>
    <cfRule type="expression" priority="151" dxfId="2" stopIfTrue="1">
      <formula>A22="XX"</formula>
    </cfRule>
    <cfRule type="expression" priority="152" dxfId="1" stopIfTrue="1">
      <formula>A22="x"</formula>
    </cfRule>
  </conditionalFormatting>
  <conditionalFormatting sqref="B22">
    <cfRule type="expression" priority="147" dxfId="2" stopIfTrue="1">
      <formula>A22="XXX"</formula>
    </cfRule>
    <cfRule type="expression" priority="148" dxfId="2" stopIfTrue="1">
      <formula>A22="XX"</formula>
    </cfRule>
    <cfRule type="expression" priority="149" dxfId="1" stopIfTrue="1">
      <formula>A22="x"</formula>
    </cfRule>
  </conditionalFormatting>
  <conditionalFormatting sqref="C22">
    <cfRule type="expression" priority="144" dxfId="2" stopIfTrue="1">
      <formula>A22="XXX"</formula>
    </cfRule>
    <cfRule type="expression" priority="145" dxfId="2" stopIfTrue="1">
      <formula>A22="XX"</formula>
    </cfRule>
    <cfRule type="expression" priority="146" dxfId="1" stopIfTrue="1">
      <formula>A22="x"</formula>
    </cfRule>
  </conditionalFormatting>
  <conditionalFormatting sqref="B23:C23">
    <cfRule type="expression" priority="143" dxfId="1" stopIfTrue="1">
      <formula>A23="x"</formula>
    </cfRule>
  </conditionalFormatting>
  <conditionalFormatting sqref="B23:C23">
    <cfRule type="expression" priority="140" dxfId="2" stopIfTrue="1">
      <formula>A23="XXX"</formula>
    </cfRule>
    <cfRule type="expression" priority="141" dxfId="2" stopIfTrue="1">
      <formula>A23="XX"</formula>
    </cfRule>
    <cfRule type="expression" priority="142" dxfId="1" stopIfTrue="1">
      <formula>A23="x"</formula>
    </cfRule>
  </conditionalFormatting>
  <conditionalFormatting sqref="B23:C23">
    <cfRule type="expression" priority="139" dxfId="1" stopIfTrue="1">
      <formula>A23="x"</formula>
    </cfRule>
  </conditionalFormatting>
  <conditionalFormatting sqref="B23:C23">
    <cfRule type="expression" priority="136" dxfId="2" stopIfTrue="1">
      <formula>A23="XXX"</formula>
    </cfRule>
    <cfRule type="expression" priority="137" dxfId="2" stopIfTrue="1">
      <formula>A23="XX"</formula>
    </cfRule>
    <cfRule type="expression" priority="138" dxfId="1" stopIfTrue="1">
      <formula>A23="x"</formula>
    </cfRule>
  </conditionalFormatting>
  <conditionalFormatting sqref="B23">
    <cfRule type="expression" priority="133" dxfId="2" stopIfTrue="1">
      <formula>A23="XXX"</formula>
    </cfRule>
    <cfRule type="expression" priority="134" dxfId="2" stopIfTrue="1">
      <formula>A23="XX"</formula>
    </cfRule>
    <cfRule type="expression" priority="135" dxfId="1" stopIfTrue="1">
      <formula>A23="x"</formula>
    </cfRule>
  </conditionalFormatting>
  <conditionalFormatting sqref="C23">
    <cfRule type="expression" priority="130" dxfId="2" stopIfTrue="1">
      <formula>A23="XXX"</formula>
    </cfRule>
    <cfRule type="expression" priority="131" dxfId="2" stopIfTrue="1">
      <formula>A23="XX"</formula>
    </cfRule>
    <cfRule type="expression" priority="132" dxfId="1" stopIfTrue="1">
      <formula>A23="x"</formula>
    </cfRule>
  </conditionalFormatting>
  <conditionalFormatting sqref="B24:C24">
    <cfRule type="expression" priority="129" dxfId="1" stopIfTrue="1">
      <formula>A24="x"</formula>
    </cfRule>
  </conditionalFormatting>
  <conditionalFormatting sqref="B24:C24">
    <cfRule type="expression" priority="126" dxfId="2" stopIfTrue="1">
      <formula>A24="XXX"</formula>
    </cfRule>
    <cfRule type="expression" priority="127" dxfId="2" stopIfTrue="1">
      <formula>A24="XX"</formula>
    </cfRule>
    <cfRule type="expression" priority="128" dxfId="1" stopIfTrue="1">
      <formula>A24="x"</formula>
    </cfRule>
  </conditionalFormatting>
  <conditionalFormatting sqref="B24:C24">
    <cfRule type="expression" priority="125" dxfId="1" stopIfTrue="1">
      <formula>A24="x"</formula>
    </cfRule>
  </conditionalFormatting>
  <conditionalFormatting sqref="B24:C24">
    <cfRule type="expression" priority="122" dxfId="2" stopIfTrue="1">
      <formula>A24="XXX"</formula>
    </cfRule>
    <cfRule type="expression" priority="123" dxfId="2" stopIfTrue="1">
      <formula>A24="XX"</formula>
    </cfRule>
    <cfRule type="expression" priority="124" dxfId="1" stopIfTrue="1">
      <formula>A24="x"</formula>
    </cfRule>
  </conditionalFormatting>
  <conditionalFormatting sqref="B24:C24">
    <cfRule type="expression" priority="121" dxfId="1" stopIfTrue="1">
      <formula>A24="x"</formula>
    </cfRule>
  </conditionalFormatting>
  <conditionalFormatting sqref="B24:C24">
    <cfRule type="expression" priority="118" dxfId="2" stopIfTrue="1">
      <formula>A24="XXX"</formula>
    </cfRule>
    <cfRule type="expression" priority="119" dxfId="2" stopIfTrue="1">
      <formula>A24="XX"</formula>
    </cfRule>
    <cfRule type="expression" priority="120" dxfId="1" stopIfTrue="1">
      <formula>A24="x"</formula>
    </cfRule>
  </conditionalFormatting>
  <conditionalFormatting sqref="B24">
    <cfRule type="expression" priority="115" dxfId="2" stopIfTrue="1">
      <formula>A24="XXX"</formula>
    </cfRule>
    <cfRule type="expression" priority="116" dxfId="2" stopIfTrue="1">
      <formula>A24="XX"</formula>
    </cfRule>
    <cfRule type="expression" priority="117" dxfId="1" stopIfTrue="1">
      <formula>A24="x"</formula>
    </cfRule>
  </conditionalFormatting>
  <conditionalFormatting sqref="C24">
    <cfRule type="expression" priority="112" dxfId="2" stopIfTrue="1">
      <formula>A24="XXX"</formula>
    </cfRule>
    <cfRule type="expression" priority="113" dxfId="2" stopIfTrue="1">
      <formula>A24="XX"</formula>
    </cfRule>
    <cfRule type="expression" priority="114" dxfId="1" stopIfTrue="1">
      <formula>A24="x"</formula>
    </cfRule>
  </conditionalFormatting>
  <conditionalFormatting sqref="G20:H20">
    <cfRule type="expression" priority="111" dxfId="1" stopIfTrue="1">
      <formula>F20="x"</formula>
    </cfRule>
  </conditionalFormatting>
  <conditionalFormatting sqref="G20:H20">
    <cfRule type="expression" priority="108" dxfId="2" stopIfTrue="1">
      <formula>F20="XXX"</formula>
    </cfRule>
    <cfRule type="expression" priority="109" dxfId="2" stopIfTrue="1">
      <formula>F20="XX"</formula>
    </cfRule>
    <cfRule type="expression" priority="110" dxfId="1" stopIfTrue="1">
      <formula>F20="x"</formula>
    </cfRule>
  </conditionalFormatting>
  <conditionalFormatting sqref="G20:H20">
    <cfRule type="expression" priority="107" dxfId="1" stopIfTrue="1">
      <formula>F20="x"</formula>
    </cfRule>
  </conditionalFormatting>
  <conditionalFormatting sqref="G20:H20">
    <cfRule type="expression" priority="104" dxfId="2" stopIfTrue="1">
      <formula>F20="XXX"</formula>
    </cfRule>
    <cfRule type="expression" priority="105" dxfId="2" stopIfTrue="1">
      <formula>F20="XX"</formula>
    </cfRule>
    <cfRule type="expression" priority="106" dxfId="1" stopIfTrue="1">
      <formula>F20="x"</formula>
    </cfRule>
  </conditionalFormatting>
  <conditionalFormatting sqref="G20:H20">
    <cfRule type="expression" priority="103" dxfId="1" stopIfTrue="1">
      <formula>F20="x"</formula>
    </cfRule>
  </conditionalFormatting>
  <conditionalFormatting sqref="G20:H20">
    <cfRule type="expression" priority="100" dxfId="2" stopIfTrue="1">
      <formula>F20="XXX"</formula>
    </cfRule>
    <cfRule type="expression" priority="101" dxfId="2" stopIfTrue="1">
      <formula>F20="XX"</formula>
    </cfRule>
    <cfRule type="expression" priority="102" dxfId="1" stopIfTrue="1">
      <formula>F20="x"</formula>
    </cfRule>
  </conditionalFormatting>
  <conditionalFormatting sqref="G20">
    <cfRule type="expression" priority="97" dxfId="2" stopIfTrue="1">
      <formula>F20="XXX"</formula>
    </cfRule>
    <cfRule type="expression" priority="98" dxfId="2" stopIfTrue="1">
      <formula>F20="XX"</formula>
    </cfRule>
    <cfRule type="expression" priority="99" dxfId="1" stopIfTrue="1">
      <formula>F20="x"</formula>
    </cfRule>
  </conditionalFormatting>
  <conditionalFormatting sqref="H20">
    <cfRule type="expression" priority="94" dxfId="2" stopIfTrue="1">
      <formula>F20="XXX"</formula>
    </cfRule>
    <cfRule type="expression" priority="95" dxfId="2" stopIfTrue="1">
      <formula>F20="XX"</formula>
    </cfRule>
    <cfRule type="expression" priority="96" dxfId="1" stopIfTrue="1">
      <formula>F20="x"</formula>
    </cfRule>
  </conditionalFormatting>
  <conditionalFormatting sqref="G21:H21">
    <cfRule type="expression" priority="93" dxfId="1" stopIfTrue="1">
      <formula>F21="x"</formula>
    </cfRule>
  </conditionalFormatting>
  <conditionalFormatting sqref="G21:H21">
    <cfRule type="expression" priority="92" dxfId="1" stopIfTrue="1">
      <formula>F21="x"</formula>
    </cfRule>
  </conditionalFormatting>
  <conditionalFormatting sqref="G21:H21">
    <cfRule type="expression" priority="89" dxfId="2" stopIfTrue="1">
      <formula>F21="XXX"</formula>
    </cfRule>
    <cfRule type="expression" priority="90" dxfId="2" stopIfTrue="1">
      <formula>F21="XX"</formula>
    </cfRule>
    <cfRule type="expression" priority="91" dxfId="1" stopIfTrue="1">
      <formula>F21="x"</formula>
    </cfRule>
  </conditionalFormatting>
  <conditionalFormatting sqref="G21:H21">
    <cfRule type="expression" priority="88" dxfId="1" stopIfTrue="1">
      <formula>F21="x"</formula>
    </cfRule>
  </conditionalFormatting>
  <conditionalFormatting sqref="G21:H21">
    <cfRule type="expression" priority="85" dxfId="2" stopIfTrue="1">
      <formula>F21="XXX"</formula>
    </cfRule>
    <cfRule type="expression" priority="86" dxfId="2" stopIfTrue="1">
      <formula>F21="XX"</formula>
    </cfRule>
    <cfRule type="expression" priority="87" dxfId="1" stopIfTrue="1">
      <formula>F21="x"</formula>
    </cfRule>
  </conditionalFormatting>
  <conditionalFormatting sqref="G21:H21">
    <cfRule type="expression" priority="84" dxfId="1" stopIfTrue="1">
      <formula>F21="x"</formula>
    </cfRule>
  </conditionalFormatting>
  <conditionalFormatting sqref="G21:H21">
    <cfRule type="expression" priority="81" dxfId="2" stopIfTrue="1">
      <formula>F21="XXX"</formula>
    </cfRule>
    <cfRule type="expression" priority="82" dxfId="2" stopIfTrue="1">
      <formula>F21="XX"</formula>
    </cfRule>
    <cfRule type="expression" priority="83" dxfId="1" stopIfTrue="1">
      <formula>F21="x"</formula>
    </cfRule>
  </conditionalFormatting>
  <conditionalFormatting sqref="G21">
    <cfRule type="expression" priority="78" dxfId="2" stopIfTrue="1">
      <formula>F21="XXX"</formula>
    </cfRule>
    <cfRule type="expression" priority="79" dxfId="2" stopIfTrue="1">
      <formula>F21="XX"</formula>
    </cfRule>
    <cfRule type="expression" priority="80" dxfId="1" stopIfTrue="1">
      <formula>F21="x"</formula>
    </cfRule>
  </conditionalFormatting>
  <conditionalFormatting sqref="H21">
    <cfRule type="expression" priority="75" dxfId="2" stopIfTrue="1">
      <formula>F21="XXX"</formula>
    </cfRule>
    <cfRule type="expression" priority="76" dxfId="2" stopIfTrue="1">
      <formula>F21="XX"</formula>
    </cfRule>
    <cfRule type="expression" priority="77" dxfId="1" stopIfTrue="1">
      <formula>F21="x"</formula>
    </cfRule>
  </conditionalFormatting>
  <conditionalFormatting sqref="H22">
    <cfRule type="expression" priority="74" dxfId="1" stopIfTrue="1">
      <formula>F22="x"</formula>
    </cfRule>
  </conditionalFormatting>
  <conditionalFormatting sqref="G22">
    <cfRule type="expression" priority="73" dxfId="1" stopIfTrue="1">
      <formula>F22="x"</formula>
    </cfRule>
  </conditionalFormatting>
  <conditionalFormatting sqref="G22:H22">
    <cfRule type="expression" priority="72" dxfId="1" stopIfTrue="1">
      <formula>F22="x"</formula>
    </cfRule>
  </conditionalFormatting>
  <conditionalFormatting sqref="G22:H22">
    <cfRule type="expression" priority="71" dxfId="1" stopIfTrue="1">
      <formula>F22="x"</formula>
    </cfRule>
  </conditionalFormatting>
  <conditionalFormatting sqref="G22:H22">
    <cfRule type="expression" priority="68" dxfId="2" stopIfTrue="1">
      <formula>F22="XXX"</formula>
    </cfRule>
    <cfRule type="expression" priority="69" dxfId="2" stopIfTrue="1">
      <formula>F22="XX"</formula>
    </cfRule>
    <cfRule type="expression" priority="70" dxfId="1" stopIfTrue="1">
      <formula>F22="x"</formula>
    </cfRule>
  </conditionalFormatting>
  <conditionalFormatting sqref="G22:H22">
    <cfRule type="expression" priority="67" dxfId="1" stopIfTrue="1">
      <formula>F22="x"</formula>
    </cfRule>
  </conditionalFormatting>
  <conditionalFormatting sqref="G22:H22">
    <cfRule type="expression" priority="64" dxfId="2" stopIfTrue="1">
      <formula>F22="XXX"</formula>
    </cfRule>
    <cfRule type="expression" priority="65" dxfId="2" stopIfTrue="1">
      <formula>F22="XX"</formula>
    </cfRule>
    <cfRule type="expression" priority="66" dxfId="1" stopIfTrue="1">
      <formula>F22="x"</formula>
    </cfRule>
  </conditionalFormatting>
  <conditionalFormatting sqref="G22:H22">
    <cfRule type="expression" priority="63" dxfId="1" stopIfTrue="1">
      <formula>F22="x"</formula>
    </cfRule>
  </conditionalFormatting>
  <conditionalFormatting sqref="G22:H22">
    <cfRule type="expression" priority="60" dxfId="2" stopIfTrue="1">
      <formula>F22="XXX"</formula>
    </cfRule>
    <cfRule type="expression" priority="61" dxfId="2" stopIfTrue="1">
      <formula>F22="XX"</formula>
    </cfRule>
    <cfRule type="expression" priority="62" dxfId="1" stopIfTrue="1">
      <formula>F22="x"</formula>
    </cfRule>
  </conditionalFormatting>
  <conditionalFormatting sqref="G22">
    <cfRule type="expression" priority="57" dxfId="2" stopIfTrue="1">
      <formula>F22="XXX"</formula>
    </cfRule>
    <cfRule type="expression" priority="58" dxfId="2" stopIfTrue="1">
      <formula>F22="XX"</formula>
    </cfRule>
    <cfRule type="expression" priority="59" dxfId="1" stopIfTrue="1">
      <formula>F22="x"</formula>
    </cfRule>
  </conditionalFormatting>
  <conditionalFormatting sqref="H22">
    <cfRule type="expression" priority="54" dxfId="2" stopIfTrue="1">
      <formula>F22="XXX"</formula>
    </cfRule>
    <cfRule type="expression" priority="55" dxfId="2" stopIfTrue="1">
      <formula>F22="XX"</formula>
    </cfRule>
    <cfRule type="expression" priority="56" dxfId="1" stopIfTrue="1">
      <formula>F22="x"</formula>
    </cfRule>
  </conditionalFormatting>
  <conditionalFormatting sqref="H23">
    <cfRule type="expression" priority="53" dxfId="1" stopIfTrue="1">
      <formula>F23="x"</formula>
    </cfRule>
  </conditionalFormatting>
  <conditionalFormatting sqref="G23">
    <cfRule type="expression" priority="52" dxfId="1" stopIfTrue="1">
      <formula>F23="x"</formula>
    </cfRule>
  </conditionalFormatting>
  <conditionalFormatting sqref="G23:H23">
    <cfRule type="expression" priority="51" dxfId="1" stopIfTrue="1">
      <formula>F23="x"</formula>
    </cfRule>
  </conditionalFormatting>
  <conditionalFormatting sqref="G23:H23">
    <cfRule type="expression" priority="50" dxfId="1" stopIfTrue="1">
      <formula>F23="x"</formula>
    </cfRule>
  </conditionalFormatting>
  <conditionalFormatting sqref="G23:H23">
    <cfRule type="expression" priority="47" dxfId="2" stopIfTrue="1">
      <formula>F23="XXX"</formula>
    </cfRule>
    <cfRule type="expression" priority="48" dxfId="2" stopIfTrue="1">
      <formula>F23="XX"</formula>
    </cfRule>
    <cfRule type="expression" priority="49" dxfId="1" stopIfTrue="1">
      <formula>F23="x"</formula>
    </cfRule>
  </conditionalFormatting>
  <conditionalFormatting sqref="G23:H23">
    <cfRule type="expression" priority="46" dxfId="1" stopIfTrue="1">
      <formula>F23="x"</formula>
    </cfRule>
  </conditionalFormatting>
  <conditionalFormatting sqref="G23:H23">
    <cfRule type="expression" priority="43" dxfId="2" stopIfTrue="1">
      <formula>F23="XXX"</formula>
    </cfRule>
    <cfRule type="expression" priority="44" dxfId="2" stopIfTrue="1">
      <formula>F23="XX"</formula>
    </cfRule>
    <cfRule type="expression" priority="45" dxfId="1" stopIfTrue="1">
      <formula>F23="x"</formula>
    </cfRule>
  </conditionalFormatting>
  <conditionalFormatting sqref="G23:H23">
    <cfRule type="expression" priority="42" dxfId="1" stopIfTrue="1">
      <formula>F23="x"</formula>
    </cfRule>
  </conditionalFormatting>
  <conditionalFormatting sqref="G23:H23">
    <cfRule type="expression" priority="39" dxfId="2" stopIfTrue="1">
      <formula>F23="XXX"</formula>
    </cfRule>
    <cfRule type="expression" priority="40" dxfId="2" stopIfTrue="1">
      <formula>F23="XX"</formula>
    </cfRule>
    <cfRule type="expression" priority="41" dxfId="1" stopIfTrue="1">
      <formula>F23="x"</formula>
    </cfRule>
  </conditionalFormatting>
  <conditionalFormatting sqref="G23">
    <cfRule type="expression" priority="36" dxfId="2" stopIfTrue="1">
      <formula>F23="XXX"</formula>
    </cfRule>
    <cfRule type="expression" priority="37" dxfId="2" stopIfTrue="1">
      <formula>F23="XX"</formula>
    </cfRule>
    <cfRule type="expression" priority="38" dxfId="1" stopIfTrue="1">
      <formula>F23="x"</formula>
    </cfRule>
  </conditionalFormatting>
  <conditionalFormatting sqref="H23">
    <cfRule type="expression" priority="33" dxfId="2" stopIfTrue="1">
      <formula>F23="XXX"</formula>
    </cfRule>
    <cfRule type="expression" priority="34" dxfId="2" stopIfTrue="1">
      <formula>F23="XX"</formula>
    </cfRule>
    <cfRule type="expression" priority="35" dxfId="1" stopIfTrue="1">
      <formula>F23="x"</formula>
    </cfRule>
  </conditionalFormatting>
  <conditionalFormatting sqref="H24">
    <cfRule type="expression" priority="32" dxfId="1" stopIfTrue="1">
      <formula>F24="x"</formula>
    </cfRule>
  </conditionalFormatting>
  <conditionalFormatting sqref="G24">
    <cfRule type="expression" priority="31" dxfId="1" stopIfTrue="1">
      <formula>F24="x"</formula>
    </cfRule>
  </conditionalFormatting>
  <conditionalFormatting sqref="G24:H24">
    <cfRule type="expression" priority="30" dxfId="1" stopIfTrue="1">
      <formula>F24="x"</formula>
    </cfRule>
  </conditionalFormatting>
  <conditionalFormatting sqref="G24:H24">
    <cfRule type="expression" priority="29" dxfId="1" stopIfTrue="1">
      <formula>F24="x"</formula>
    </cfRule>
  </conditionalFormatting>
  <conditionalFormatting sqref="G24:H24">
    <cfRule type="expression" priority="26" dxfId="2" stopIfTrue="1">
      <formula>F24="XXX"</formula>
    </cfRule>
    <cfRule type="expression" priority="27" dxfId="2" stopIfTrue="1">
      <formula>F24="XX"</formula>
    </cfRule>
    <cfRule type="expression" priority="28" dxfId="1" stopIfTrue="1">
      <formula>F24="x"</formula>
    </cfRule>
  </conditionalFormatting>
  <conditionalFormatting sqref="G24:H24">
    <cfRule type="expression" priority="25" dxfId="1" stopIfTrue="1">
      <formula>F24="x"</formula>
    </cfRule>
  </conditionalFormatting>
  <conditionalFormatting sqref="G24:H24">
    <cfRule type="expression" priority="22" dxfId="2" stopIfTrue="1">
      <formula>F24="XXX"</formula>
    </cfRule>
    <cfRule type="expression" priority="23" dxfId="2" stopIfTrue="1">
      <formula>F24="XX"</formula>
    </cfRule>
    <cfRule type="expression" priority="24" dxfId="1" stopIfTrue="1">
      <formula>F24="x"</formula>
    </cfRule>
  </conditionalFormatting>
  <conditionalFormatting sqref="G24:H24">
    <cfRule type="expression" priority="21" dxfId="1" stopIfTrue="1">
      <formula>F24="x"</formula>
    </cfRule>
  </conditionalFormatting>
  <conditionalFormatting sqref="G24:H24">
    <cfRule type="expression" priority="18" dxfId="2" stopIfTrue="1">
      <formula>F24="XXX"</formula>
    </cfRule>
    <cfRule type="expression" priority="19" dxfId="2" stopIfTrue="1">
      <formula>F24="XX"</formula>
    </cfRule>
    <cfRule type="expression" priority="20" dxfId="1" stopIfTrue="1">
      <formula>F24="x"</formula>
    </cfRule>
  </conditionalFormatting>
  <conditionalFormatting sqref="G24">
    <cfRule type="expression" priority="15" dxfId="2" stopIfTrue="1">
      <formula>F24="XXX"</formula>
    </cfRule>
    <cfRule type="expression" priority="16" dxfId="2" stopIfTrue="1">
      <formula>F24="XX"</formula>
    </cfRule>
    <cfRule type="expression" priority="17" dxfId="1" stopIfTrue="1">
      <formula>F24="x"</formula>
    </cfRule>
  </conditionalFormatting>
  <conditionalFormatting sqref="H24">
    <cfRule type="expression" priority="12" dxfId="2" stopIfTrue="1">
      <formula>F24="XXX"</formula>
    </cfRule>
    <cfRule type="expression" priority="13" dxfId="2" stopIfTrue="1">
      <formula>F24="XX"</formula>
    </cfRule>
    <cfRule type="expression" priority="14" dxfId="1" stopIfTrue="1">
      <formula>F24="x"</formula>
    </cfRule>
  </conditionalFormatting>
  <conditionalFormatting sqref="H126 H124 N58 R58 J57:J58">
    <cfRule type="expression" priority="645" dxfId="0" stopIfTrue="1">
      <formula>$O$57&gt;50</formula>
    </cfRule>
  </conditionalFormatting>
  <dataValidations count="10">
    <dataValidation type="list" allowBlank="1" showInputMessage="1" showErrorMessage="1" sqref="AH41 AH43">
      <formula1>Psi</formula1>
    </dataValidation>
    <dataValidation showInputMessage="1" showErrorMessage="1" sqref="X53:X55 S29:S31 S49:S51 X29:X31 X37:X39 X33:X35 X25:X27 X49:X51 X45:X47 S53:S55 X17:X19 S45:S47 X41:X43 S13:S23 S33:S35 S25:S27 S37:S39 X21:X23 S41:S43 X13:X15"/>
    <dataValidation type="list" allowBlank="1" showInputMessage="1" showErrorMessage="1" sqref="B7">
      <formula1>$AH$41:$AH$44</formula1>
    </dataValidation>
    <dataValidation type="list" allowBlank="1" showInputMessage="1" showErrorMessage="1" sqref="B6:E6">
      <formula1>$AE$36:$AE$46</formula1>
    </dataValidation>
    <dataValidation type="list" showInputMessage="1" showErrorMessage="1" sqref="K43:K54">
      <formula1>$AK$25:$AK$36</formula1>
    </dataValidation>
    <dataValidation type="list" showInputMessage="1" showErrorMessage="1" sqref="K25:K34 L25:R26 L28:R34">
      <formula1>$AH$25:$AH$34</formula1>
    </dataValidation>
    <dataValidation type="list" allowBlank="1" showInputMessage="1" showErrorMessage="1" sqref="Q8:R8">
      <formula1>$AI$4:$AI$15</formula1>
    </dataValidation>
    <dataValidation type="list" allowBlank="1" showInputMessage="1" showErrorMessage="1" sqref="Q4">
      <formula1>$AG$4:$AG$13</formula1>
    </dataValidation>
    <dataValidation type="list" allowBlank="1" showInputMessage="1" showErrorMessage="1" sqref="Q6">
      <formula1>$AH$4:$AH$13</formula1>
    </dataValidation>
    <dataValidation type="list" allowBlank="1" showInputMessage="1" showErrorMessage="1" sqref="K13:K22">
      <formula1>$AE$25:$AE$34</formula1>
    </dataValidation>
  </dataValidations>
  <printOptions/>
  <pageMargins left="0.7086614173228347" right="0.7086614173228347" top="0.643125" bottom="0.3777083333333333" header="0.31496062992125984" footer="0.31496062992125984"/>
  <pageSetup horizontalDpi="300" verticalDpi="3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L18" sqref="L18"/>
    </sheetView>
  </sheetViews>
  <sheetFormatPr defaultColWidth="11.421875" defaultRowHeight="12.75"/>
  <sheetData>
    <row r="1" spans="1:12" ht="15.75">
      <c r="A1" s="22" t="s">
        <v>32</v>
      </c>
      <c r="C1" s="111" t="s">
        <v>36</v>
      </c>
      <c r="G1" s="111" t="s">
        <v>37</v>
      </c>
      <c r="L1" s="111" t="s">
        <v>38</v>
      </c>
    </row>
    <row r="2" spans="3:12" ht="12.75">
      <c r="C2" s="22" t="s">
        <v>45</v>
      </c>
      <c r="G2" s="22" t="s">
        <v>5</v>
      </c>
      <c r="L2" s="22" t="s">
        <v>45</v>
      </c>
    </row>
    <row r="3" spans="3:12" ht="12.75">
      <c r="C3" s="110" t="s">
        <v>126</v>
      </c>
      <c r="G3" s="110" t="s">
        <v>101</v>
      </c>
      <c r="H3" s="107"/>
      <c r="L3" s="110" t="s">
        <v>107</v>
      </c>
    </row>
    <row r="4" spans="3:12" ht="12.75">
      <c r="C4" t="s">
        <v>94</v>
      </c>
      <c r="G4" s="22" t="s">
        <v>48</v>
      </c>
      <c r="L4" s="22" t="s">
        <v>48</v>
      </c>
    </row>
    <row r="5" spans="3:12" ht="12.75">
      <c r="C5" s="22" t="s">
        <v>52</v>
      </c>
      <c r="G5" s="110" t="s">
        <v>102</v>
      </c>
      <c r="L5" s="110" t="s">
        <v>108</v>
      </c>
    </row>
    <row r="6" spans="3:12" ht="12.75">
      <c r="C6" t="s">
        <v>95</v>
      </c>
      <c r="G6" s="22" t="s">
        <v>47</v>
      </c>
      <c r="L6" s="22" t="s">
        <v>46</v>
      </c>
    </row>
    <row r="7" spans="3:12" ht="12.75">
      <c r="C7" s="22" t="s">
        <v>46</v>
      </c>
      <c r="G7" s="110" t="s">
        <v>103</v>
      </c>
      <c r="L7" s="110" t="s">
        <v>109</v>
      </c>
    </row>
    <row r="8" spans="3:12" ht="12.75">
      <c r="C8" t="s">
        <v>96</v>
      </c>
      <c r="G8" s="22" t="s">
        <v>49</v>
      </c>
      <c r="L8" s="22" t="s">
        <v>97</v>
      </c>
    </row>
    <row r="9" spans="3:12" ht="12.75">
      <c r="C9" s="22" t="s">
        <v>97</v>
      </c>
      <c r="G9" s="110" t="s">
        <v>104</v>
      </c>
      <c r="L9" s="110" t="s">
        <v>110</v>
      </c>
    </row>
    <row r="10" spans="3:12" ht="12.75">
      <c r="C10" t="s">
        <v>98</v>
      </c>
      <c r="G10" s="22" t="s">
        <v>51</v>
      </c>
      <c r="L10" s="22" t="s">
        <v>50</v>
      </c>
    </row>
    <row r="11" spans="3:12" ht="12.75">
      <c r="C11" s="22" t="s">
        <v>50</v>
      </c>
      <c r="G11" s="110" t="s">
        <v>105</v>
      </c>
      <c r="L11" s="110" t="s">
        <v>111</v>
      </c>
    </row>
    <row r="12" spans="3:7" ht="12.75">
      <c r="C12" t="s">
        <v>99</v>
      </c>
      <c r="G12" s="110" t="s">
        <v>106</v>
      </c>
    </row>
    <row r="14" spans="3:12" ht="15.75">
      <c r="C14" s="111" t="s">
        <v>39</v>
      </c>
      <c r="G14" s="111" t="s">
        <v>40</v>
      </c>
      <c r="L14" s="111" t="s">
        <v>34</v>
      </c>
    </row>
    <row r="15" spans="3:12" ht="12.75">
      <c r="C15" s="22" t="s">
        <v>5</v>
      </c>
      <c r="G15" s="22" t="s">
        <v>5</v>
      </c>
      <c r="L15" s="22" t="s">
        <v>45</v>
      </c>
    </row>
    <row r="16" spans="3:12" ht="12.75">
      <c r="C16" s="110" t="s">
        <v>112</v>
      </c>
      <c r="G16" s="114" t="s">
        <v>127</v>
      </c>
      <c r="L16" t="s">
        <v>129</v>
      </c>
    </row>
    <row r="17" spans="3:12" ht="12.75">
      <c r="C17" s="22" t="s">
        <v>52</v>
      </c>
      <c r="G17" s="114" t="s">
        <v>128</v>
      </c>
      <c r="L17" s="22" t="s">
        <v>52</v>
      </c>
    </row>
    <row r="18" spans="3:12" ht="12.75">
      <c r="C18" s="110" t="s">
        <v>113</v>
      </c>
      <c r="G18" s="22" t="s">
        <v>48</v>
      </c>
      <c r="L18" s="110" t="s">
        <v>130</v>
      </c>
    </row>
    <row r="19" spans="3:12" ht="12.75">
      <c r="C19" s="22" t="s">
        <v>47</v>
      </c>
      <c r="G19" s="110" t="s">
        <v>119</v>
      </c>
      <c r="L19" s="22" t="s">
        <v>46</v>
      </c>
    </row>
    <row r="20" spans="3:12" ht="12.75">
      <c r="C20" s="110" t="s">
        <v>114</v>
      </c>
      <c r="G20" s="22" t="s">
        <v>47</v>
      </c>
      <c r="L20" s="110" t="s">
        <v>131</v>
      </c>
    </row>
    <row r="21" spans="3:12" ht="12.75">
      <c r="C21" s="22" t="s">
        <v>49</v>
      </c>
      <c r="G21" s="110" t="s">
        <v>120</v>
      </c>
      <c r="L21" s="22" t="s">
        <v>97</v>
      </c>
    </row>
    <row r="22" spans="3:12" ht="12.75">
      <c r="C22" s="110" t="s">
        <v>115</v>
      </c>
      <c r="G22" s="110" t="s">
        <v>121</v>
      </c>
      <c r="L22" s="114" t="s">
        <v>132</v>
      </c>
    </row>
    <row r="23" spans="3:12" ht="12.75">
      <c r="C23" s="110" t="s">
        <v>116</v>
      </c>
      <c r="G23" s="110" t="s">
        <v>122</v>
      </c>
      <c r="L23" s="114" t="s">
        <v>133</v>
      </c>
    </row>
    <row r="24" spans="3:12" ht="12.75">
      <c r="C24" s="22" t="s">
        <v>51</v>
      </c>
      <c r="G24" s="22" t="s">
        <v>49</v>
      </c>
      <c r="L24" s="22" t="s">
        <v>50</v>
      </c>
    </row>
    <row r="25" spans="3:12" ht="12.75">
      <c r="C25" s="110" t="s">
        <v>117</v>
      </c>
      <c r="G25" s="110" t="s">
        <v>124</v>
      </c>
      <c r="L25" s="110" t="s">
        <v>134</v>
      </c>
    </row>
    <row r="26" spans="3:12" ht="12.75">
      <c r="C26" s="110" t="s">
        <v>118</v>
      </c>
      <c r="G26" s="110" t="s">
        <v>123</v>
      </c>
      <c r="L26" s="110" t="s">
        <v>135</v>
      </c>
    </row>
    <row r="27" ht="12.75">
      <c r="G27" s="22" t="s">
        <v>51</v>
      </c>
    </row>
    <row r="28" ht="12.75">
      <c r="G28" s="110" t="s">
        <v>125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3" sqref="A3"/>
    </sheetView>
  </sheetViews>
  <sheetFormatPr defaultColWidth="11.421875" defaultRowHeight="12.75"/>
  <sheetData>
    <row r="1" spans="1:12" ht="15.75">
      <c r="A1" s="22" t="s">
        <v>185</v>
      </c>
      <c r="C1" s="111" t="s">
        <v>143</v>
      </c>
      <c r="G1" s="111" t="s">
        <v>144</v>
      </c>
      <c r="L1" s="111" t="s">
        <v>145</v>
      </c>
    </row>
    <row r="2" spans="1:12" ht="12.75">
      <c r="A2" s="22" t="s">
        <v>158</v>
      </c>
      <c r="C2" s="22" t="s">
        <v>157</v>
      </c>
      <c r="G2" s="22" t="s">
        <v>193</v>
      </c>
      <c r="L2" s="22"/>
    </row>
    <row r="3" spans="1:12" ht="12.75">
      <c r="A3" s="132" t="s">
        <v>201</v>
      </c>
      <c r="C3" s="110" t="s">
        <v>186</v>
      </c>
      <c r="G3" s="110" t="s">
        <v>194</v>
      </c>
      <c r="H3" s="107"/>
      <c r="L3" s="110"/>
    </row>
    <row r="4" spans="1:12" ht="12.75">
      <c r="A4" s="132"/>
      <c r="C4" s="22" t="s">
        <v>159</v>
      </c>
      <c r="G4" s="22" t="s">
        <v>158</v>
      </c>
      <c r="L4" s="22"/>
    </row>
    <row r="5" spans="1:12" ht="12.75">
      <c r="A5" s="132"/>
      <c r="C5" s="110" t="s">
        <v>187</v>
      </c>
      <c r="G5" s="110" t="s">
        <v>195</v>
      </c>
      <c r="L5" s="110"/>
    </row>
    <row r="6" spans="3:12" ht="12.75">
      <c r="C6" s="22" t="s">
        <v>160</v>
      </c>
      <c r="G6" s="22" t="s">
        <v>196</v>
      </c>
      <c r="L6" s="22"/>
    </row>
    <row r="7" spans="3:12" ht="12.75">
      <c r="C7" s="110" t="s">
        <v>188</v>
      </c>
      <c r="G7" s="110" t="s">
        <v>197</v>
      </c>
      <c r="L7" s="110"/>
    </row>
    <row r="8" spans="1:12" ht="12.75">
      <c r="A8" s="132"/>
      <c r="C8" s="22" t="s">
        <v>152</v>
      </c>
      <c r="G8" s="22" t="s">
        <v>169</v>
      </c>
      <c r="L8" s="22"/>
    </row>
    <row r="9" spans="1:12" ht="12.75">
      <c r="A9" s="132"/>
      <c r="C9" s="110" t="s">
        <v>189</v>
      </c>
      <c r="G9" s="110" t="s">
        <v>198</v>
      </c>
      <c r="L9" s="110"/>
    </row>
    <row r="10" spans="3:12" ht="12.75">
      <c r="C10" s="22" t="s">
        <v>166</v>
      </c>
      <c r="G10" s="22" t="s">
        <v>170</v>
      </c>
      <c r="L10" s="22"/>
    </row>
    <row r="11" spans="3:12" ht="12.75">
      <c r="C11" s="110" t="s">
        <v>190</v>
      </c>
      <c r="G11" s="110" t="s">
        <v>199</v>
      </c>
      <c r="L11" s="110"/>
    </row>
    <row r="12" spans="3:7" ht="12.75">
      <c r="C12" s="22" t="s">
        <v>168</v>
      </c>
      <c r="G12" s="110" t="s">
        <v>200</v>
      </c>
    </row>
    <row r="13" ht="12.75">
      <c r="C13" s="110" t="s">
        <v>191</v>
      </c>
    </row>
    <row r="14" ht="12.75">
      <c r="C14" s="110" t="s">
        <v>192</v>
      </c>
    </row>
    <row r="15" spans="3:12" ht="15.75">
      <c r="C15" s="111" t="s">
        <v>146</v>
      </c>
      <c r="G15" s="111" t="s">
        <v>147</v>
      </c>
      <c r="L15" s="111" t="s">
        <v>148</v>
      </c>
    </row>
    <row r="16" spans="3:12" ht="12.75">
      <c r="C16" s="22"/>
      <c r="G16" s="22"/>
      <c r="L16" s="22"/>
    </row>
    <row r="17" spans="3:7" ht="12.75">
      <c r="C17" s="110"/>
      <c r="G17" s="114"/>
    </row>
    <row r="18" spans="3:12" ht="12.75">
      <c r="C18" s="22"/>
      <c r="G18" s="114"/>
      <c r="L18" s="22"/>
    </row>
    <row r="19" spans="3:12" ht="12.75">
      <c r="C19" s="110"/>
      <c r="G19" s="22"/>
      <c r="L19" s="110"/>
    </row>
    <row r="20" spans="3:12" ht="12.75">
      <c r="C20" s="22"/>
      <c r="G20" s="110"/>
      <c r="L20" s="22"/>
    </row>
    <row r="21" spans="3:12" ht="12.75">
      <c r="C21" s="110"/>
      <c r="G21" s="22"/>
      <c r="L21" s="110"/>
    </row>
    <row r="22" spans="3:12" ht="12.75">
      <c r="C22" s="22"/>
      <c r="G22" s="110"/>
      <c r="L22" s="22"/>
    </row>
    <row r="23" spans="3:12" ht="12.75">
      <c r="C23" s="110"/>
      <c r="G23" s="110"/>
      <c r="L23" s="114"/>
    </row>
    <row r="24" spans="3:12" ht="12.75">
      <c r="C24" s="110"/>
      <c r="G24" s="110"/>
      <c r="L24" s="114"/>
    </row>
    <row r="25" spans="3:12" ht="12.75">
      <c r="C25" s="22"/>
      <c r="G25" s="22"/>
      <c r="L25" s="22"/>
    </row>
    <row r="26" spans="3:12" ht="12.75">
      <c r="C26" s="110"/>
      <c r="G26" s="110"/>
      <c r="L26" s="110"/>
    </row>
    <row r="27" spans="3:12" ht="12.75">
      <c r="C27" s="110"/>
      <c r="G27" s="110"/>
      <c r="L27" s="110"/>
    </row>
    <row r="28" ht="12.75">
      <c r="G28" s="22"/>
    </row>
    <row r="29" ht="12.75">
      <c r="G29" s="110"/>
    </row>
    <row r="31" spans="3:7" ht="15.75">
      <c r="C31" s="111" t="s">
        <v>149</v>
      </c>
      <c r="G31" s="111" t="s">
        <v>150</v>
      </c>
    </row>
    <row r="32" spans="3:7" ht="12.75">
      <c r="C32" s="22"/>
      <c r="G32" s="22"/>
    </row>
    <row r="34" spans="3:7" ht="12.75">
      <c r="C34" s="22"/>
      <c r="G34" s="22"/>
    </row>
    <row r="35" spans="3:7" ht="12.75">
      <c r="C35" s="110"/>
      <c r="G35" s="110"/>
    </row>
    <row r="36" spans="3:7" ht="12.75">
      <c r="C36" s="22"/>
      <c r="G36" s="22"/>
    </row>
    <row r="37" spans="3:7" ht="12.75">
      <c r="C37" s="110"/>
      <c r="G37" s="110"/>
    </row>
    <row r="38" spans="3:7" ht="12.75">
      <c r="C38" s="22"/>
      <c r="G38" s="22"/>
    </row>
    <row r="39" spans="3:7" ht="12.75">
      <c r="C39" s="114"/>
      <c r="G39" s="114"/>
    </row>
    <row r="40" spans="3:7" ht="12.75">
      <c r="C40" s="114"/>
      <c r="G40" s="114"/>
    </row>
    <row r="41" spans="3:7" ht="12.75">
      <c r="C41" s="22"/>
      <c r="G41" s="22"/>
    </row>
    <row r="42" spans="3:7" ht="12.75">
      <c r="C42" s="110"/>
      <c r="G42" s="110"/>
    </row>
    <row r="43" spans="3:7" ht="12.75">
      <c r="C43" s="110"/>
      <c r="G43" s="1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AY56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2.00390625" style="0" bestFit="1" customWidth="1"/>
    <col min="2" max="51" width="5.7109375" style="0" customWidth="1"/>
  </cols>
  <sheetData>
    <row r="1" spans="1:26" ht="13.5" thickBot="1">
      <c r="A1" s="10"/>
      <c r="B1" s="11"/>
      <c r="C1" s="62">
        <v>-11</v>
      </c>
      <c r="D1" s="62">
        <v>-10</v>
      </c>
      <c r="E1" s="62">
        <v>-9</v>
      </c>
      <c r="F1" s="62">
        <v>-8</v>
      </c>
      <c r="G1" s="62">
        <v>-7</v>
      </c>
      <c r="H1" s="62">
        <v>-6</v>
      </c>
      <c r="I1" s="62">
        <v>-5</v>
      </c>
      <c r="J1" s="62">
        <v>-4</v>
      </c>
      <c r="K1" s="62">
        <v>-3</v>
      </c>
      <c r="L1" s="62">
        <v>-2</v>
      </c>
      <c r="M1" s="62">
        <v>-1</v>
      </c>
      <c r="N1" s="62">
        <v>0</v>
      </c>
      <c r="O1" s="62">
        <v>0</v>
      </c>
      <c r="P1" s="62">
        <v>1</v>
      </c>
      <c r="Q1" s="62">
        <v>2</v>
      </c>
      <c r="R1" s="62">
        <v>3</v>
      </c>
      <c r="S1" s="62">
        <v>4</v>
      </c>
      <c r="T1" s="62">
        <v>5</v>
      </c>
      <c r="U1" s="62">
        <v>6</v>
      </c>
      <c r="V1" s="62">
        <v>7</v>
      </c>
      <c r="W1" s="62">
        <v>8</v>
      </c>
      <c r="X1" s="62">
        <v>9</v>
      </c>
      <c r="Y1" s="62">
        <v>10</v>
      </c>
      <c r="Z1" s="63" t="s">
        <v>22</v>
      </c>
    </row>
    <row r="2" spans="1:26" ht="12.75">
      <c r="A2" s="3">
        <v>1</v>
      </c>
      <c r="B2" s="12" t="s">
        <v>24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-1</v>
      </c>
      <c r="K2" s="13">
        <v>-1</v>
      </c>
      <c r="L2" s="13">
        <v>-2</v>
      </c>
      <c r="M2" s="13">
        <v>-2</v>
      </c>
      <c r="N2" s="13">
        <v>-3</v>
      </c>
      <c r="O2" s="13">
        <v>-3</v>
      </c>
      <c r="P2" s="13">
        <v>-4</v>
      </c>
      <c r="Q2" s="13">
        <v>-4</v>
      </c>
      <c r="R2" s="13">
        <v>-5</v>
      </c>
      <c r="S2" s="13">
        <v>-5</v>
      </c>
      <c r="T2" s="13">
        <v>-6</v>
      </c>
      <c r="U2" s="13">
        <v>-6</v>
      </c>
      <c r="V2" s="13">
        <v>-7</v>
      </c>
      <c r="W2" s="13">
        <v>-7</v>
      </c>
      <c r="X2" s="13">
        <v>-8</v>
      </c>
      <c r="Y2" s="13">
        <v>-8</v>
      </c>
      <c r="Z2" s="14">
        <v>-9</v>
      </c>
    </row>
    <row r="3" spans="1:26" ht="13.5" thickBot="1">
      <c r="A3" s="5"/>
      <c r="B3" s="15" t="s">
        <v>25</v>
      </c>
      <c r="C3" s="16" t="s">
        <v>23</v>
      </c>
      <c r="D3" s="16" t="s">
        <v>23</v>
      </c>
      <c r="E3" s="16" t="s">
        <v>23</v>
      </c>
      <c r="F3" s="16">
        <v>-8</v>
      </c>
      <c r="G3" s="16">
        <v>-8</v>
      </c>
      <c r="H3" s="16">
        <v>-6</v>
      </c>
      <c r="I3" s="16">
        <v>-6</v>
      </c>
      <c r="J3" s="16">
        <v>-6</v>
      </c>
      <c r="K3" s="16">
        <v>-6</v>
      </c>
      <c r="L3" s="16">
        <v>-5</v>
      </c>
      <c r="M3" s="16">
        <v>-5</v>
      </c>
      <c r="N3" s="16">
        <v>-5</v>
      </c>
      <c r="O3" s="16">
        <v>-5</v>
      </c>
      <c r="P3" s="16">
        <v>-5</v>
      </c>
      <c r="Q3" s="16">
        <v>-5</v>
      </c>
      <c r="R3" s="16">
        <v>-4</v>
      </c>
      <c r="S3" s="16">
        <v>-4</v>
      </c>
      <c r="T3" s="16">
        <v>-4</v>
      </c>
      <c r="U3" s="16">
        <v>-4</v>
      </c>
      <c r="V3" s="16">
        <v>-4</v>
      </c>
      <c r="W3" s="16">
        <v>-4</v>
      </c>
      <c r="X3" s="16">
        <v>-3</v>
      </c>
      <c r="Y3" s="16">
        <v>-3</v>
      </c>
      <c r="Z3" s="17">
        <v>-3</v>
      </c>
    </row>
    <row r="4" spans="1:26" ht="12.75">
      <c r="A4" s="4">
        <v>2</v>
      </c>
      <c r="B4" s="1" t="s">
        <v>24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-1</v>
      </c>
      <c r="I4" s="6">
        <v>-1</v>
      </c>
      <c r="J4" s="6">
        <v>-2</v>
      </c>
      <c r="K4" s="6">
        <v>-2</v>
      </c>
      <c r="L4" s="6">
        <v>-3</v>
      </c>
      <c r="M4" s="6">
        <v>-3</v>
      </c>
      <c r="N4" s="6">
        <v>-4</v>
      </c>
      <c r="O4" s="6">
        <v>-4</v>
      </c>
      <c r="P4" s="6">
        <v>-5</v>
      </c>
      <c r="Q4" s="6">
        <v>-5</v>
      </c>
      <c r="R4" s="6">
        <v>-6</v>
      </c>
      <c r="S4" s="6">
        <v>-6</v>
      </c>
      <c r="T4" s="6">
        <v>-7</v>
      </c>
      <c r="U4" s="6">
        <v>-7</v>
      </c>
      <c r="V4" s="6">
        <v>-8</v>
      </c>
      <c r="W4" s="6">
        <v>-8</v>
      </c>
      <c r="X4" s="6">
        <v>-9</v>
      </c>
      <c r="Y4" s="6">
        <v>-9</v>
      </c>
      <c r="Z4" s="7">
        <v>-10</v>
      </c>
    </row>
    <row r="5" spans="1:26" ht="13.5" thickBot="1">
      <c r="A5" s="4"/>
      <c r="B5" s="1" t="s">
        <v>25</v>
      </c>
      <c r="C5" s="6" t="s">
        <v>23</v>
      </c>
      <c r="D5" s="6">
        <v>-8</v>
      </c>
      <c r="E5" s="6">
        <v>-8</v>
      </c>
      <c r="F5" s="6">
        <v>-7</v>
      </c>
      <c r="G5" s="6">
        <v>-7</v>
      </c>
      <c r="H5" s="6">
        <v>-6</v>
      </c>
      <c r="I5" s="6">
        <v>-6</v>
      </c>
      <c r="J5" s="6">
        <v>-5</v>
      </c>
      <c r="K5" s="6">
        <v>-5</v>
      </c>
      <c r="L5" s="6">
        <v>-5</v>
      </c>
      <c r="M5" s="6">
        <v>-5</v>
      </c>
      <c r="N5" s="6">
        <v>-4</v>
      </c>
      <c r="O5" s="6">
        <v>-4</v>
      </c>
      <c r="P5" s="6">
        <v>-4</v>
      </c>
      <c r="Q5" s="6">
        <v>-4</v>
      </c>
      <c r="R5" s="6">
        <v>-3</v>
      </c>
      <c r="S5" s="6">
        <v>-3</v>
      </c>
      <c r="T5" s="6">
        <v>-3</v>
      </c>
      <c r="U5" s="6">
        <v>-3</v>
      </c>
      <c r="V5" s="6">
        <v>-3</v>
      </c>
      <c r="W5" s="6">
        <v>-3</v>
      </c>
      <c r="X5" s="6">
        <v>-3</v>
      </c>
      <c r="Y5" s="6">
        <v>-3</v>
      </c>
      <c r="Z5" s="7">
        <v>-2</v>
      </c>
    </row>
    <row r="6" spans="1:26" ht="12.75">
      <c r="A6" s="3">
        <v>3</v>
      </c>
      <c r="B6" s="12" t="s">
        <v>24</v>
      </c>
      <c r="C6" s="13">
        <v>0</v>
      </c>
      <c r="D6" s="13">
        <v>0</v>
      </c>
      <c r="E6" s="13">
        <v>0</v>
      </c>
      <c r="F6" s="13">
        <v>-1</v>
      </c>
      <c r="G6" s="13">
        <v>-1</v>
      </c>
      <c r="H6" s="13">
        <v>-2</v>
      </c>
      <c r="I6" s="13">
        <v>-2</v>
      </c>
      <c r="J6" s="13">
        <v>-3</v>
      </c>
      <c r="K6" s="13">
        <v>-3</v>
      </c>
      <c r="L6" s="13">
        <v>-4</v>
      </c>
      <c r="M6" s="13">
        <v>-4</v>
      </c>
      <c r="N6" s="13">
        <v>-5</v>
      </c>
      <c r="O6" s="13">
        <v>-5</v>
      </c>
      <c r="P6" s="13">
        <v>-6</v>
      </c>
      <c r="Q6" s="13">
        <v>-6</v>
      </c>
      <c r="R6" s="13">
        <v>-7</v>
      </c>
      <c r="S6" s="13">
        <v>-7</v>
      </c>
      <c r="T6" s="13">
        <v>-8</v>
      </c>
      <c r="U6" s="13">
        <v>-8</v>
      </c>
      <c r="V6" s="13">
        <v>-9</v>
      </c>
      <c r="W6" s="13">
        <v>-9</v>
      </c>
      <c r="X6" s="13">
        <v>-10</v>
      </c>
      <c r="Y6" s="13">
        <v>-10</v>
      </c>
      <c r="Z6" s="14">
        <v>-11</v>
      </c>
    </row>
    <row r="7" spans="1:26" ht="13.5" thickBot="1">
      <c r="A7" s="5"/>
      <c r="B7" s="15" t="s">
        <v>25</v>
      </c>
      <c r="C7" s="16">
        <v>-8</v>
      </c>
      <c r="D7" s="16">
        <v>-7</v>
      </c>
      <c r="E7" s="16">
        <v>-7</v>
      </c>
      <c r="F7" s="16">
        <v>-6</v>
      </c>
      <c r="G7" s="16">
        <v>-6</v>
      </c>
      <c r="H7" s="16">
        <v>-5</v>
      </c>
      <c r="I7" s="16">
        <v>-5</v>
      </c>
      <c r="J7" s="16">
        <v>-5</v>
      </c>
      <c r="K7" s="16">
        <v>-5</v>
      </c>
      <c r="L7" s="16">
        <v>-4</v>
      </c>
      <c r="M7" s="16">
        <v>-4</v>
      </c>
      <c r="N7" s="16">
        <v>-4</v>
      </c>
      <c r="O7" s="16">
        <v>-4</v>
      </c>
      <c r="P7" s="16">
        <v>-3</v>
      </c>
      <c r="Q7" s="16">
        <v>-3</v>
      </c>
      <c r="R7" s="16">
        <v>-3</v>
      </c>
      <c r="S7" s="16">
        <v>-3</v>
      </c>
      <c r="T7" s="16">
        <v>-3</v>
      </c>
      <c r="U7" s="16">
        <v>-3</v>
      </c>
      <c r="V7" s="16">
        <v>-2</v>
      </c>
      <c r="W7" s="16">
        <v>-2</v>
      </c>
      <c r="X7" s="16">
        <v>-2</v>
      </c>
      <c r="Y7" s="16">
        <v>-2</v>
      </c>
      <c r="Z7" s="17">
        <v>-2</v>
      </c>
    </row>
    <row r="8" spans="1:26" ht="12.75">
      <c r="A8" s="4">
        <v>4</v>
      </c>
      <c r="B8" s="1" t="s">
        <v>24</v>
      </c>
      <c r="C8" s="6">
        <v>0</v>
      </c>
      <c r="D8" s="6">
        <v>-1</v>
      </c>
      <c r="E8" s="6">
        <v>-1</v>
      </c>
      <c r="F8" s="6">
        <v>-2</v>
      </c>
      <c r="G8" s="6">
        <v>-2</v>
      </c>
      <c r="H8" s="6">
        <v>-3</v>
      </c>
      <c r="I8" s="6">
        <v>-3</v>
      </c>
      <c r="J8" s="6">
        <v>-4</v>
      </c>
      <c r="K8" s="6">
        <v>-4</v>
      </c>
      <c r="L8" s="6">
        <v>-5</v>
      </c>
      <c r="M8" s="6">
        <v>-5</v>
      </c>
      <c r="N8" s="6">
        <v>-6</v>
      </c>
      <c r="O8" s="6">
        <v>-6</v>
      </c>
      <c r="P8" s="6">
        <v>-7</v>
      </c>
      <c r="Q8" s="6">
        <v>-7</v>
      </c>
      <c r="R8" s="6">
        <v>-8</v>
      </c>
      <c r="S8" s="6">
        <v>-8</v>
      </c>
      <c r="T8" s="6">
        <v>-9</v>
      </c>
      <c r="U8" s="6">
        <v>-9</v>
      </c>
      <c r="V8" s="6">
        <v>-10</v>
      </c>
      <c r="W8" s="6">
        <v>-10</v>
      </c>
      <c r="X8" s="6">
        <v>-11</v>
      </c>
      <c r="Y8" s="6">
        <v>-11</v>
      </c>
      <c r="Z8" s="7">
        <v>-12</v>
      </c>
    </row>
    <row r="9" spans="1:26" ht="13.5" thickBot="1">
      <c r="A9" s="4"/>
      <c r="B9" s="1" t="s">
        <v>25</v>
      </c>
      <c r="C9" s="6">
        <v>-8</v>
      </c>
      <c r="D9" s="6">
        <v>-7</v>
      </c>
      <c r="E9" s="6">
        <v>-7</v>
      </c>
      <c r="F9" s="6">
        <v>-6</v>
      </c>
      <c r="G9" s="6">
        <v>-6</v>
      </c>
      <c r="H9" s="6">
        <v>-5</v>
      </c>
      <c r="I9" s="6">
        <v>-5</v>
      </c>
      <c r="J9" s="6">
        <v>-4</v>
      </c>
      <c r="K9" s="6">
        <v>-4</v>
      </c>
      <c r="L9" s="6">
        <v>-4</v>
      </c>
      <c r="M9" s="6">
        <v>-4</v>
      </c>
      <c r="N9" s="6">
        <v>-3</v>
      </c>
      <c r="O9" s="6">
        <v>-3</v>
      </c>
      <c r="P9" s="6">
        <v>-3</v>
      </c>
      <c r="Q9" s="6">
        <v>-3</v>
      </c>
      <c r="R9" s="6">
        <v>-2</v>
      </c>
      <c r="S9" s="6">
        <v>-2</v>
      </c>
      <c r="T9" s="6">
        <v>-2</v>
      </c>
      <c r="U9" s="6">
        <v>-2</v>
      </c>
      <c r="V9" s="6">
        <v>-2</v>
      </c>
      <c r="W9" s="6">
        <v>-2</v>
      </c>
      <c r="X9" s="6">
        <v>-2</v>
      </c>
      <c r="Y9" s="6">
        <v>-2</v>
      </c>
      <c r="Z9" s="7">
        <v>-2</v>
      </c>
    </row>
    <row r="10" spans="1:26" ht="12.75">
      <c r="A10" s="3">
        <v>5</v>
      </c>
      <c r="B10" s="12" t="s">
        <v>24</v>
      </c>
      <c r="C10" s="13">
        <v>-1</v>
      </c>
      <c r="D10" s="13">
        <v>-2</v>
      </c>
      <c r="E10" s="13">
        <v>-2</v>
      </c>
      <c r="F10" s="13">
        <v>-3</v>
      </c>
      <c r="G10" s="13">
        <v>-3</v>
      </c>
      <c r="H10" s="13">
        <v>-4</v>
      </c>
      <c r="I10" s="13">
        <v>-4</v>
      </c>
      <c r="J10" s="13">
        <v>-5</v>
      </c>
      <c r="K10" s="13">
        <v>-5</v>
      </c>
      <c r="L10" s="13">
        <v>-6</v>
      </c>
      <c r="M10" s="13">
        <v>-6</v>
      </c>
      <c r="N10" s="13">
        <v>-7</v>
      </c>
      <c r="O10" s="13">
        <v>-7</v>
      </c>
      <c r="P10" s="13">
        <v>-8</v>
      </c>
      <c r="Q10" s="13">
        <v>-8</v>
      </c>
      <c r="R10" s="13">
        <v>-9</v>
      </c>
      <c r="S10" s="13">
        <v>-9</v>
      </c>
      <c r="T10" s="13">
        <v>-10</v>
      </c>
      <c r="U10" s="13">
        <v>-10</v>
      </c>
      <c r="V10" s="13">
        <v>-11</v>
      </c>
      <c r="W10" s="13">
        <v>-11</v>
      </c>
      <c r="X10" s="13">
        <v>-12</v>
      </c>
      <c r="Y10" s="13">
        <v>-12</v>
      </c>
      <c r="Z10" s="14">
        <v>-14</v>
      </c>
    </row>
    <row r="11" spans="1:26" ht="13.5" thickBot="1">
      <c r="A11" s="5"/>
      <c r="B11" s="15" t="s">
        <v>25</v>
      </c>
      <c r="C11" s="16">
        <v>-7</v>
      </c>
      <c r="D11" s="16">
        <v>-6</v>
      </c>
      <c r="E11" s="16">
        <v>-6</v>
      </c>
      <c r="F11" s="16">
        <v>-5</v>
      </c>
      <c r="G11" s="16">
        <v>-5</v>
      </c>
      <c r="H11" s="16">
        <v>-4</v>
      </c>
      <c r="I11" s="16">
        <v>-4</v>
      </c>
      <c r="J11" s="16">
        <v>-4</v>
      </c>
      <c r="K11" s="16">
        <v>-4</v>
      </c>
      <c r="L11" s="16">
        <v>-3</v>
      </c>
      <c r="M11" s="16">
        <v>-3</v>
      </c>
      <c r="N11" s="16">
        <v>-2</v>
      </c>
      <c r="O11" s="16">
        <v>-2</v>
      </c>
      <c r="P11" s="16">
        <v>-2</v>
      </c>
      <c r="Q11" s="16">
        <v>-2</v>
      </c>
      <c r="R11" s="16">
        <v>-2</v>
      </c>
      <c r="S11" s="16">
        <v>-2</v>
      </c>
      <c r="T11" s="16">
        <v>-2</v>
      </c>
      <c r="U11" s="16">
        <v>-2</v>
      </c>
      <c r="V11" s="16">
        <v>-2</v>
      </c>
      <c r="W11" s="16">
        <v>-2</v>
      </c>
      <c r="X11" s="16">
        <v>-2</v>
      </c>
      <c r="Y11" s="16">
        <v>-2</v>
      </c>
      <c r="Z11" s="17">
        <v>-1</v>
      </c>
    </row>
    <row r="12" spans="1:26" ht="12.75">
      <c r="A12" s="4">
        <v>6</v>
      </c>
      <c r="B12" s="1" t="s">
        <v>24</v>
      </c>
      <c r="C12" s="6">
        <v>-2</v>
      </c>
      <c r="D12" s="6">
        <v>-3</v>
      </c>
      <c r="E12" s="6">
        <v>-3</v>
      </c>
      <c r="F12" s="6">
        <v>-4</v>
      </c>
      <c r="G12" s="6">
        <v>-4</v>
      </c>
      <c r="H12" s="6">
        <v>-5</v>
      </c>
      <c r="I12" s="6">
        <v>-5</v>
      </c>
      <c r="J12" s="6">
        <v>-6</v>
      </c>
      <c r="K12" s="6">
        <v>-6</v>
      </c>
      <c r="L12" s="6">
        <v>-7</v>
      </c>
      <c r="M12" s="6">
        <v>-7</v>
      </c>
      <c r="N12" s="6">
        <v>-8</v>
      </c>
      <c r="O12" s="6">
        <v>-8</v>
      </c>
      <c r="P12" s="6">
        <v>-9</v>
      </c>
      <c r="Q12" s="6">
        <v>-9</v>
      </c>
      <c r="R12" s="6">
        <v>-10</v>
      </c>
      <c r="S12" s="6">
        <v>-10</v>
      </c>
      <c r="T12" s="6">
        <v>-11</v>
      </c>
      <c r="U12" s="6">
        <v>-11</v>
      </c>
      <c r="V12" s="6">
        <v>-12</v>
      </c>
      <c r="W12" s="6">
        <v>-12</v>
      </c>
      <c r="X12" s="6">
        <v>-14</v>
      </c>
      <c r="Y12" s="6">
        <v>-14</v>
      </c>
      <c r="Z12" s="7">
        <v>-16</v>
      </c>
    </row>
    <row r="13" spans="1:26" ht="13.5" thickBot="1">
      <c r="A13" s="4"/>
      <c r="B13" s="1" t="s">
        <v>25</v>
      </c>
      <c r="C13" s="6">
        <v>-6</v>
      </c>
      <c r="D13" s="6">
        <v>-6</v>
      </c>
      <c r="E13" s="6">
        <v>-6</v>
      </c>
      <c r="F13" s="6">
        <v>-5</v>
      </c>
      <c r="G13" s="6">
        <v>-5</v>
      </c>
      <c r="H13" s="6">
        <v>-4</v>
      </c>
      <c r="I13" s="6">
        <v>-4</v>
      </c>
      <c r="J13" s="6">
        <v>-3</v>
      </c>
      <c r="K13" s="6">
        <v>-3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-1</v>
      </c>
      <c r="U13" s="6">
        <v>-1</v>
      </c>
      <c r="V13" s="6">
        <v>-1</v>
      </c>
      <c r="W13" s="6">
        <v>-1</v>
      </c>
      <c r="X13" s="6">
        <v>-1</v>
      </c>
      <c r="Y13" s="6">
        <v>-1</v>
      </c>
      <c r="Z13" s="7">
        <v>-1</v>
      </c>
    </row>
    <row r="14" spans="1:26" ht="12.75">
      <c r="A14" s="3">
        <v>7</v>
      </c>
      <c r="B14" s="12" t="s">
        <v>24</v>
      </c>
      <c r="C14" s="13">
        <v>-3</v>
      </c>
      <c r="D14" s="13">
        <v>-4</v>
      </c>
      <c r="E14" s="13">
        <v>-4</v>
      </c>
      <c r="F14" s="13">
        <v>-5</v>
      </c>
      <c r="G14" s="13">
        <v>-5</v>
      </c>
      <c r="H14" s="13">
        <v>-6</v>
      </c>
      <c r="I14" s="13">
        <v>-6</v>
      </c>
      <c r="J14" s="13">
        <v>-7</v>
      </c>
      <c r="K14" s="13">
        <v>-7</v>
      </c>
      <c r="L14" s="13">
        <v>-8</v>
      </c>
      <c r="M14" s="13">
        <v>-8</v>
      </c>
      <c r="N14" s="13">
        <v>-9</v>
      </c>
      <c r="O14" s="13">
        <v>-9</v>
      </c>
      <c r="P14" s="13">
        <v>-10</v>
      </c>
      <c r="Q14" s="13">
        <v>-10</v>
      </c>
      <c r="R14" s="13">
        <v>-11</v>
      </c>
      <c r="S14" s="13">
        <v>-11</v>
      </c>
      <c r="T14" s="13">
        <v>-12</v>
      </c>
      <c r="U14" s="13">
        <v>-12</v>
      </c>
      <c r="V14" s="13">
        <v>-14</v>
      </c>
      <c r="W14" s="13">
        <v>-14</v>
      </c>
      <c r="X14" s="13">
        <v>-16</v>
      </c>
      <c r="Y14" s="13">
        <v>-16</v>
      </c>
      <c r="Z14" s="14">
        <v>-18</v>
      </c>
    </row>
    <row r="15" spans="1:26" ht="13.5" thickBot="1">
      <c r="A15" s="5"/>
      <c r="B15" s="15" t="s">
        <v>25</v>
      </c>
      <c r="C15" s="16">
        <v>-5</v>
      </c>
      <c r="D15" s="16">
        <v>-5</v>
      </c>
      <c r="E15" s="16">
        <v>-5</v>
      </c>
      <c r="F15" s="16">
        <v>-4</v>
      </c>
      <c r="G15" s="16">
        <v>-4</v>
      </c>
      <c r="H15" s="16">
        <v>-3</v>
      </c>
      <c r="I15" s="16">
        <v>-3</v>
      </c>
      <c r="J15" s="16">
        <v>-2</v>
      </c>
      <c r="K15" s="16">
        <v>-2</v>
      </c>
      <c r="L15" s="16">
        <v>-2</v>
      </c>
      <c r="M15" s="16">
        <v>-2</v>
      </c>
      <c r="N15" s="16">
        <v>-1</v>
      </c>
      <c r="O15" s="16">
        <v>-1</v>
      </c>
      <c r="P15" s="16">
        <v>-1</v>
      </c>
      <c r="Q15" s="16">
        <v>-1</v>
      </c>
      <c r="R15" s="16">
        <v>-1</v>
      </c>
      <c r="S15" s="16">
        <v>-1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7">
        <v>0</v>
      </c>
    </row>
    <row r="16" spans="1:26" ht="12.75">
      <c r="A16" s="4">
        <v>8</v>
      </c>
      <c r="B16" s="1" t="s">
        <v>24</v>
      </c>
      <c r="C16" s="6">
        <v>-4</v>
      </c>
      <c r="D16" s="6">
        <v>-5</v>
      </c>
      <c r="E16" s="6">
        <v>-5</v>
      </c>
      <c r="F16" s="6">
        <v>-6</v>
      </c>
      <c r="G16" s="6">
        <v>-6</v>
      </c>
      <c r="H16" s="6">
        <v>-7</v>
      </c>
      <c r="I16" s="6">
        <v>-7</v>
      </c>
      <c r="J16" s="6">
        <v>-8</v>
      </c>
      <c r="K16" s="6">
        <v>-8</v>
      </c>
      <c r="L16" s="6">
        <v>-9</v>
      </c>
      <c r="M16" s="6">
        <v>-9</v>
      </c>
      <c r="N16" s="6">
        <v>-10</v>
      </c>
      <c r="O16" s="6">
        <v>-10</v>
      </c>
      <c r="P16" s="6">
        <v>-11</v>
      </c>
      <c r="Q16" s="6">
        <v>-11</v>
      </c>
      <c r="R16" s="6">
        <v>-12</v>
      </c>
      <c r="S16" s="6">
        <v>-12</v>
      </c>
      <c r="T16" s="6">
        <v>-14</v>
      </c>
      <c r="U16" s="6">
        <v>-14</v>
      </c>
      <c r="V16" s="6">
        <v>-16</v>
      </c>
      <c r="W16" s="6">
        <v>-16</v>
      </c>
      <c r="X16" s="6">
        <v>-18</v>
      </c>
      <c r="Y16" s="6">
        <v>-18</v>
      </c>
      <c r="Z16" s="7" t="s">
        <v>23</v>
      </c>
    </row>
    <row r="17" spans="1:26" ht="13.5" thickBot="1">
      <c r="A17" s="4"/>
      <c r="B17" s="1" t="s">
        <v>25</v>
      </c>
      <c r="C17" s="6">
        <v>-4</v>
      </c>
      <c r="D17" s="6">
        <v>-4</v>
      </c>
      <c r="E17" s="6">
        <v>-4</v>
      </c>
      <c r="F17" s="6">
        <v>-3</v>
      </c>
      <c r="G17" s="6">
        <v>-3</v>
      </c>
      <c r="H17" s="6">
        <v>-2</v>
      </c>
      <c r="I17" s="6">
        <v>-2</v>
      </c>
      <c r="J17" s="6">
        <v>-1</v>
      </c>
      <c r="K17" s="6">
        <v>-1</v>
      </c>
      <c r="L17" s="6">
        <v>-1</v>
      </c>
      <c r="M17" s="6">
        <v>-1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7">
        <v>0</v>
      </c>
    </row>
    <row r="18" spans="1:26" ht="12.75">
      <c r="A18" s="4">
        <v>9</v>
      </c>
      <c r="B18" s="18" t="s">
        <v>24</v>
      </c>
      <c r="C18" s="13">
        <v>-5</v>
      </c>
      <c r="D18" s="13">
        <v>-6</v>
      </c>
      <c r="E18" s="13">
        <v>-6</v>
      </c>
      <c r="F18" s="13">
        <v>-7</v>
      </c>
      <c r="G18" s="13">
        <v>-7</v>
      </c>
      <c r="H18" s="13">
        <v>-8</v>
      </c>
      <c r="I18" s="13">
        <v>-8</v>
      </c>
      <c r="J18" s="13">
        <v>-9</v>
      </c>
      <c r="K18" s="13">
        <v>-9</v>
      </c>
      <c r="L18" s="13">
        <v>-10</v>
      </c>
      <c r="M18" s="13">
        <v>-10</v>
      </c>
      <c r="N18" s="13">
        <v>-11</v>
      </c>
      <c r="O18" s="13">
        <v>-11</v>
      </c>
      <c r="P18" s="13">
        <v>-12</v>
      </c>
      <c r="Q18" s="13">
        <v>-12</v>
      </c>
      <c r="R18" s="13">
        <v>-14</v>
      </c>
      <c r="S18" s="13">
        <v>-14</v>
      </c>
      <c r="T18" s="13">
        <v>-16</v>
      </c>
      <c r="U18" s="13">
        <v>-16</v>
      </c>
      <c r="V18" s="13">
        <v>-18</v>
      </c>
      <c r="W18" s="13">
        <v>-18</v>
      </c>
      <c r="X18" s="13" t="s">
        <v>23</v>
      </c>
      <c r="Y18" s="13" t="s">
        <v>23</v>
      </c>
      <c r="Z18" s="14" t="s">
        <v>23</v>
      </c>
    </row>
    <row r="19" spans="1:26" ht="13.5" thickBot="1">
      <c r="A19" s="4"/>
      <c r="B19" s="19" t="s">
        <v>25</v>
      </c>
      <c r="C19" s="16">
        <v>-3</v>
      </c>
      <c r="D19" s="16">
        <v>-3</v>
      </c>
      <c r="E19" s="16">
        <v>-3</v>
      </c>
      <c r="F19" s="16">
        <v>-2</v>
      </c>
      <c r="G19" s="16">
        <v>-2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7">
        <v>0</v>
      </c>
    </row>
    <row r="20" spans="1:26" ht="12.75">
      <c r="A20" s="4">
        <v>0</v>
      </c>
      <c r="B20" s="1" t="s">
        <v>24</v>
      </c>
      <c r="C20" s="6">
        <v>-6</v>
      </c>
      <c r="D20" s="6">
        <v>-7</v>
      </c>
      <c r="E20" s="6">
        <v>-7</v>
      </c>
      <c r="F20" s="6">
        <v>-8</v>
      </c>
      <c r="G20" s="6">
        <v>-8</v>
      </c>
      <c r="H20" s="6">
        <v>-9</v>
      </c>
      <c r="I20" s="6">
        <v>-9</v>
      </c>
      <c r="J20" s="6">
        <v>-10</v>
      </c>
      <c r="K20" s="6">
        <v>-10</v>
      </c>
      <c r="L20" s="6">
        <v>-11</v>
      </c>
      <c r="M20" s="6">
        <v>-11</v>
      </c>
      <c r="N20" s="6">
        <v>-12</v>
      </c>
      <c r="O20" s="6">
        <v>-12</v>
      </c>
      <c r="P20" s="6">
        <v>-14</v>
      </c>
      <c r="Q20" s="6">
        <v>-14</v>
      </c>
      <c r="R20" s="6">
        <v>-16</v>
      </c>
      <c r="S20" s="6">
        <v>-16</v>
      </c>
      <c r="T20" s="6">
        <v>-18</v>
      </c>
      <c r="U20" s="6">
        <v>-18</v>
      </c>
      <c r="V20" s="6" t="s">
        <v>23</v>
      </c>
      <c r="W20" s="6" t="s">
        <v>23</v>
      </c>
      <c r="X20" s="6" t="s">
        <v>23</v>
      </c>
      <c r="Y20" s="6" t="s">
        <v>23</v>
      </c>
      <c r="Z20" s="7" t="s">
        <v>23</v>
      </c>
    </row>
    <row r="21" spans="1:26" ht="13.5" thickBot="1">
      <c r="A21" s="5"/>
      <c r="B21" s="2" t="s">
        <v>25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9">
        <v>0</v>
      </c>
    </row>
    <row r="23" spans="2:29" ht="12.75">
      <c r="B23" s="24"/>
      <c r="C23" s="24"/>
      <c r="D23" s="24"/>
      <c r="E23" s="24"/>
      <c r="F23" s="1"/>
      <c r="G23" s="1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1"/>
      <c r="Y23" s="1"/>
      <c r="Z23" s="1"/>
      <c r="AA23" s="1"/>
      <c r="AB23" s="1"/>
      <c r="AC23" s="1"/>
    </row>
    <row r="24" spans="2:26" ht="12.75">
      <c r="B24" s="26" t="s">
        <v>58</v>
      </c>
      <c r="C24" s="27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31"/>
      <c r="U24" s="31"/>
      <c r="V24" s="31"/>
      <c r="W24" s="31"/>
      <c r="X24" s="31"/>
      <c r="Y24" s="31"/>
      <c r="Z24" s="32"/>
    </row>
    <row r="25" spans="2:51" s="22" customFormat="1" ht="12.75">
      <c r="B25" s="55">
        <v>-11</v>
      </c>
      <c r="C25" s="30"/>
      <c r="D25" s="30">
        <v>-10</v>
      </c>
      <c r="E25" s="30">
        <v>-9</v>
      </c>
      <c r="F25" s="30">
        <v>-8</v>
      </c>
      <c r="G25" s="30">
        <v>-7</v>
      </c>
      <c r="H25" s="30">
        <v>-6</v>
      </c>
      <c r="I25" s="30">
        <v>-5</v>
      </c>
      <c r="J25" s="30">
        <v>-4</v>
      </c>
      <c r="K25" s="30">
        <v>-3</v>
      </c>
      <c r="L25" s="30">
        <v>-2</v>
      </c>
      <c r="M25" s="30">
        <v>-1</v>
      </c>
      <c r="N25" s="30">
        <v>0</v>
      </c>
      <c r="O25" s="30">
        <v>0</v>
      </c>
      <c r="P25" s="30">
        <v>1</v>
      </c>
      <c r="Q25" s="30">
        <v>2</v>
      </c>
      <c r="R25" s="30">
        <v>3</v>
      </c>
      <c r="S25" s="30">
        <v>4</v>
      </c>
      <c r="T25" s="30">
        <v>5</v>
      </c>
      <c r="U25" s="30">
        <v>6</v>
      </c>
      <c r="V25" s="30">
        <v>7</v>
      </c>
      <c r="W25" s="30">
        <v>8</v>
      </c>
      <c r="X25" s="30">
        <v>9</v>
      </c>
      <c r="Y25" s="30">
        <v>10</v>
      </c>
      <c r="Z25" s="50">
        <v>11</v>
      </c>
      <c r="AE25" s="25"/>
      <c r="AG25" s="25"/>
      <c r="AI25" s="25"/>
      <c r="AK25" s="25"/>
      <c r="AM25" s="25"/>
      <c r="AO25" s="25"/>
      <c r="AQ25" s="25"/>
      <c r="AS25" s="25"/>
      <c r="AU25" s="25"/>
      <c r="AW25" s="25"/>
      <c r="AX25" s="25">
        <v>11</v>
      </c>
      <c r="AY25" s="25"/>
    </row>
    <row r="26" spans="2:26" ht="12.75">
      <c r="B26" s="34">
        <v>1</v>
      </c>
      <c r="C26" s="6">
        <f>IF(Charakterbogen!$AB$3='Kampfresultat Tabelle'!$A$2,'Kampfresultat Tabelle'!C$2,'Kampfresultat Tabelle'!C27)</f>
        <v>-1</v>
      </c>
      <c r="D26" s="6">
        <f>IF(Charakterbogen!$AB$3='Kampfresultat Tabelle'!$A$2,'Kampfresultat Tabelle'!D$2,'Kampfresultat Tabelle'!D27)</f>
        <v>-2</v>
      </c>
      <c r="E26" s="6">
        <f>IF(Charakterbogen!$AB$3='Kampfresultat Tabelle'!$A$2,'Kampfresultat Tabelle'!E$2,'Kampfresultat Tabelle'!E27)</f>
        <v>-2</v>
      </c>
      <c r="F26" s="6">
        <f>IF(Charakterbogen!$AB$3='Kampfresultat Tabelle'!$A$2,'Kampfresultat Tabelle'!F$2,'Kampfresultat Tabelle'!F27)</f>
        <v>-3</v>
      </c>
      <c r="G26" s="6">
        <f>IF(Charakterbogen!$AB$3='Kampfresultat Tabelle'!$A$2,'Kampfresultat Tabelle'!G$2,'Kampfresultat Tabelle'!G27)</f>
        <v>-3</v>
      </c>
      <c r="H26" s="6">
        <f>IF(Charakterbogen!$AB$3='Kampfresultat Tabelle'!$A$2,'Kampfresultat Tabelle'!H$2,'Kampfresultat Tabelle'!H27)</f>
        <v>-4</v>
      </c>
      <c r="I26" s="6">
        <f>IF(Charakterbogen!$AB$3='Kampfresultat Tabelle'!$A$2,'Kampfresultat Tabelle'!I$2,'Kampfresultat Tabelle'!I27)</f>
        <v>-4</v>
      </c>
      <c r="J26" s="6">
        <f>IF(Charakterbogen!$AB$3='Kampfresultat Tabelle'!$A$2,'Kampfresultat Tabelle'!J$2,'Kampfresultat Tabelle'!J27)</f>
        <v>-5</v>
      </c>
      <c r="K26" s="6">
        <f>IF(Charakterbogen!$AB$3='Kampfresultat Tabelle'!$A$2,'Kampfresultat Tabelle'!K$2,'Kampfresultat Tabelle'!K27)</f>
        <v>-5</v>
      </c>
      <c r="L26" s="6">
        <f>IF(Charakterbogen!$AB$3='Kampfresultat Tabelle'!$A$2,'Kampfresultat Tabelle'!L$2,'Kampfresultat Tabelle'!L27)</f>
        <v>-6</v>
      </c>
      <c r="M26" s="6">
        <f>IF(Charakterbogen!$AB$3='Kampfresultat Tabelle'!$A$2,'Kampfresultat Tabelle'!M$2,'Kampfresultat Tabelle'!M27)</f>
        <v>-6</v>
      </c>
      <c r="N26" s="6">
        <f>IF(Charakterbogen!$AB$3='Kampfresultat Tabelle'!$A$2,'Kampfresultat Tabelle'!N$2,'Kampfresultat Tabelle'!N27)</f>
        <v>-7</v>
      </c>
      <c r="O26" s="6">
        <f>IF(Charakterbogen!$AB$3='Kampfresultat Tabelle'!$A$2,'Kampfresultat Tabelle'!O$2,'Kampfresultat Tabelle'!O27)</f>
        <v>-7</v>
      </c>
      <c r="P26" s="6">
        <f>IF(Charakterbogen!$AB$3='Kampfresultat Tabelle'!$A$2,'Kampfresultat Tabelle'!P$2,'Kampfresultat Tabelle'!P27)</f>
        <v>-8</v>
      </c>
      <c r="Q26" s="6">
        <f>IF(Charakterbogen!$AB$3='Kampfresultat Tabelle'!$A$2,'Kampfresultat Tabelle'!Q$2,'Kampfresultat Tabelle'!Q27)</f>
        <v>-8</v>
      </c>
      <c r="R26" s="6">
        <f>IF(Charakterbogen!$AB$3='Kampfresultat Tabelle'!$A$2,'Kampfresultat Tabelle'!R$2,'Kampfresultat Tabelle'!R27)</f>
        <v>-9</v>
      </c>
      <c r="S26" s="6">
        <f>IF(Charakterbogen!$AB$3='Kampfresultat Tabelle'!$A$2,'Kampfresultat Tabelle'!S$2,'Kampfresultat Tabelle'!S27)</f>
        <v>-9</v>
      </c>
      <c r="T26" s="6">
        <f>IF(Charakterbogen!$AB$3='Kampfresultat Tabelle'!$A$2,'Kampfresultat Tabelle'!T$2,'Kampfresultat Tabelle'!T27)</f>
        <v>-10</v>
      </c>
      <c r="U26" s="6">
        <f>IF(Charakterbogen!$AB$3='Kampfresultat Tabelle'!$A$2,'Kampfresultat Tabelle'!U$2,'Kampfresultat Tabelle'!U27)</f>
        <v>-10</v>
      </c>
      <c r="V26" s="6">
        <f>IF(Charakterbogen!$AB$3='Kampfresultat Tabelle'!$A$2,'Kampfresultat Tabelle'!V$2,'Kampfresultat Tabelle'!V27)</f>
        <v>-11</v>
      </c>
      <c r="W26" s="6">
        <f>IF(Charakterbogen!$AB$3='Kampfresultat Tabelle'!$A$2,'Kampfresultat Tabelle'!W$2,'Kampfresultat Tabelle'!W27)</f>
        <v>-11</v>
      </c>
      <c r="X26" s="6">
        <f>IF(Charakterbogen!$AB$3='Kampfresultat Tabelle'!$A$2,'Kampfresultat Tabelle'!X$2,'Kampfresultat Tabelle'!X27)</f>
        <v>-12</v>
      </c>
      <c r="Y26" s="6">
        <f>IF(Charakterbogen!$AB$3='Kampfresultat Tabelle'!$A$2,'Kampfresultat Tabelle'!Y$2,'Kampfresultat Tabelle'!Y27)</f>
        <v>-12</v>
      </c>
      <c r="Z26" s="33">
        <f>IF(Charakterbogen!$AB$3='Kampfresultat Tabelle'!$A$2,'Kampfresultat Tabelle'!Z$2,'Kampfresultat Tabelle'!Z27)</f>
        <v>-14</v>
      </c>
    </row>
    <row r="27" spans="2:26" ht="12.75">
      <c r="B27" s="34">
        <v>2</v>
      </c>
      <c r="C27" s="6">
        <f>IF(Charakterbogen!$AB$3='Kampfresultat Tabelle'!$A$4,'Kampfresultat Tabelle'!C$4,'Kampfresultat Tabelle'!C28)</f>
        <v>-1</v>
      </c>
      <c r="D27" s="6">
        <f>IF(Charakterbogen!$AB$3='Kampfresultat Tabelle'!$A$4,'Kampfresultat Tabelle'!D$4,'Kampfresultat Tabelle'!D28)</f>
        <v>-2</v>
      </c>
      <c r="E27" s="6">
        <f>IF(Charakterbogen!$AB$3='Kampfresultat Tabelle'!$A$4,'Kampfresultat Tabelle'!E$4,'Kampfresultat Tabelle'!E28)</f>
        <v>-2</v>
      </c>
      <c r="F27" s="6">
        <f>IF(Charakterbogen!$AB$3='Kampfresultat Tabelle'!$A$4,'Kampfresultat Tabelle'!F$4,'Kampfresultat Tabelle'!F28)</f>
        <v>-3</v>
      </c>
      <c r="G27" s="6">
        <f>IF(Charakterbogen!$AB$3='Kampfresultat Tabelle'!$A$4,'Kampfresultat Tabelle'!G$4,'Kampfresultat Tabelle'!G28)</f>
        <v>-3</v>
      </c>
      <c r="H27" s="6">
        <f>IF(Charakterbogen!$AB$3='Kampfresultat Tabelle'!$A$4,'Kampfresultat Tabelle'!H$4,'Kampfresultat Tabelle'!H28)</f>
        <v>-4</v>
      </c>
      <c r="I27" s="6">
        <f>IF(Charakterbogen!$AB$3='Kampfresultat Tabelle'!$A$4,'Kampfresultat Tabelle'!I$4,'Kampfresultat Tabelle'!I28)</f>
        <v>-4</v>
      </c>
      <c r="J27" s="6">
        <f>IF(Charakterbogen!$AB$3='Kampfresultat Tabelle'!$A$4,'Kampfresultat Tabelle'!J$4,'Kampfresultat Tabelle'!J28)</f>
        <v>-5</v>
      </c>
      <c r="K27" s="6">
        <f>IF(Charakterbogen!$AB$3='Kampfresultat Tabelle'!$A$4,'Kampfresultat Tabelle'!K$4,'Kampfresultat Tabelle'!K28)</f>
        <v>-5</v>
      </c>
      <c r="L27" s="6">
        <f>IF(Charakterbogen!$AB$3='Kampfresultat Tabelle'!$A$4,'Kampfresultat Tabelle'!L$4,'Kampfresultat Tabelle'!L28)</f>
        <v>-6</v>
      </c>
      <c r="M27" s="6">
        <f>IF(Charakterbogen!$AB$3='Kampfresultat Tabelle'!$A$4,'Kampfresultat Tabelle'!M$4,'Kampfresultat Tabelle'!M28)</f>
        <v>-6</v>
      </c>
      <c r="N27" s="6">
        <f>IF(Charakterbogen!$AB$3='Kampfresultat Tabelle'!$A$4,'Kampfresultat Tabelle'!N$4,'Kampfresultat Tabelle'!N28)</f>
        <v>-7</v>
      </c>
      <c r="O27" s="6">
        <f>IF(Charakterbogen!$AB$3='Kampfresultat Tabelle'!$A$4,'Kampfresultat Tabelle'!O$4,'Kampfresultat Tabelle'!O28)</f>
        <v>-7</v>
      </c>
      <c r="P27" s="6">
        <f>IF(Charakterbogen!$AB$3='Kampfresultat Tabelle'!$A$4,'Kampfresultat Tabelle'!P$4,'Kampfresultat Tabelle'!P28)</f>
        <v>-8</v>
      </c>
      <c r="Q27" s="6">
        <f>IF(Charakterbogen!$AB$3='Kampfresultat Tabelle'!$A$4,'Kampfresultat Tabelle'!Q$4,'Kampfresultat Tabelle'!Q28)</f>
        <v>-8</v>
      </c>
      <c r="R27" s="6">
        <f>IF(Charakterbogen!$AB$3='Kampfresultat Tabelle'!$A$4,'Kampfresultat Tabelle'!R$4,'Kampfresultat Tabelle'!R28)</f>
        <v>-9</v>
      </c>
      <c r="S27" s="6">
        <f>IF(Charakterbogen!$AB$3='Kampfresultat Tabelle'!$A$4,'Kampfresultat Tabelle'!S$4,'Kampfresultat Tabelle'!S28)</f>
        <v>-9</v>
      </c>
      <c r="T27" s="6">
        <f>IF(Charakterbogen!$AB$3='Kampfresultat Tabelle'!$A$4,'Kampfresultat Tabelle'!T$4,'Kampfresultat Tabelle'!T28)</f>
        <v>-10</v>
      </c>
      <c r="U27" s="6">
        <f>IF(Charakterbogen!$AB$3='Kampfresultat Tabelle'!$A$4,'Kampfresultat Tabelle'!U$4,'Kampfresultat Tabelle'!U28)</f>
        <v>-10</v>
      </c>
      <c r="V27" s="6">
        <f>IF(Charakterbogen!$AB$3='Kampfresultat Tabelle'!$A$4,'Kampfresultat Tabelle'!V$4,'Kampfresultat Tabelle'!V28)</f>
        <v>-11</v>
      </c>
      <c r="W27" s="6">
        <f>IF(Charakterbogen!$AB$3='Kampfresultat Tabelle'!$A$4,'Kampfresultat Tabelle'!W$4,'Kampfresultat Tabelle'!W28)</f>
        <v>-11</v>
      </c>
      <c r="X27" s="6">
        <f>IF(Charakterbogen!$AB$3='Kampfresultat Tabelle'!$A$4,'Kampfresultat Tabelle'!X$4,'Kampfresultat Tabelle'!X28)</f>
        <v>-12</v>
      </c>
      <c r="Y27" s="6">
        <f>IF(Charakterbogen!$AB$3='Kampfresultat Tabelle'!$A$4,'Kampfresultat Tabelle'!Y$4,'Kampfresultat Tabelle'!Y28)</f>
        <v>-12</v>
      </c>
      <c r="Z27" s="33">
        <f>IF(Charakterbogen!$AB$3='Kampfresultat Tabelle'!$A$4,'Kampfresultat Tabelle'!Z$4,'Kampfresultat Tabelle'!Z28)</f>
        <v>-14</v>
      </c>
    </row>
    <row r="28" spans="2:26" ht="12.75">
      <c r="B28" s="34">
        <v>3</v>
      </c>
      <c r="C28" s="6">
        <f>IF(Charakterbogen!$AB$3='Kampfresultat Tabelle'!$A$6,'Kampfresultat Tabelle'!C$6,'Kampfresultat Tabelle'!C29)</f>
        <v>-1</v>
      </c>
      <c r="D28" s="6">
        <f>IF(Charakterbogen!$AB$3='Kampfresultat Tabelle'!$A$6,'Kampfresultat Tabelle'!D$6,'Kampfresultat Tabelle'!D29)</f>
        <v>-2</v>
      </c>
      <c r="E28" s="6">
        <f>IF(Charakterbogen!$AB$3='Kampfresultat Tabelle'!$A$6,'Kampfresultat Tabelle'!E$6,'Kampfresultat Tabelle'!E29)</f>
        <v>-2</v>
      </c>
      <c r="F28" s="6">
        <f>IF(Charakterbogen!$AB$3='Kampfresultat Tabelle'!$A$6,'Kampfresultat Tabelle'!F$6,'Kampfresultat Tabelle'!F29)</f>
        <v>-3</v>
      </c>
      <c r="G28" s="6">
        <f>IF(Charakterbogen!$AB$3='Kampfresultat Tabelle'!$A$6,'Kampfresultat Tabelle'!G$6,'Kampfresultat Tabelle'!G29)</f>
        <v>-3</v>
      </c>
      <c r="H28" s="6">
        <f>IF(Charakterbogen!$AB$3='Kampfresultat Tabelle'!$A$6,'Kampfresultat Tabelle'!H$6,'Kampfresultat Tabelle'!H29)</f>
        <v>-4</v>
      </c>
      <c r="I28" s="6">
        <f>IF(Charakterbogen!$AB$3='Kampfresultat Tabelle'!$A$6,'Kampfresultat Tabelle'!I$6,'Kampfresultat Tabelle'!I29)</f>
        <v>-4</v>
      </c>
      <c r="J28" s="6">
        <f>IF(Charakterbogen!$AB$3='Kampfresultat Tabelle'!$A$6,'Kampfresultat Tabelle'!J$6,'Kampfresultat Tabelle'!J29)</f>
        <v>-5</v>
      </c>
      <c r="K28" s="6">
        <f>IF(Charakterbogen!$AB$3='Kampfresultat Tabelle'!$A$6,'Kampfresultat Tabelle'!K$6,'Kampfresultat Tabelle'!K29)</f>
        <v>-5</v>
      </c>
      <c r="L28" s="6">
        <f>IF(Charakterbogen!$AB$3='Kampfresultat Tabelle'!$A$6,'Kampfresultat Tabelle'!L$6,'Kampfresultat Tabelle'!L29)</f>
        <v>-6</v>
      </c>
      <c r="M28" s="6">
        <f>IF(Charakterbogen!$AB$3='Kampfresultat Tabelle'!$A$6,'Kampfresultat Tabelle'!M$6,'Kampfresultat Tabelle'!M29)</f>
        <v>-6</v>
      </c>
      <c r="N28" s="6">
        <f>IF(Charakterbogen!$AB$3='Kampfresultat Tabelle'!$A$6,'Kampfresultat Tabelle'!N$6,'Kampfresultat Tabelle'!N29)</f>
        <v>-7</v>
      </c>
      <c r="O28" s="6">
        <f>IF(Charakterbogen!$AB$3='Kampfresultat Tabelle'!$A$6,'Kampfresultat Tabelle'!O$6,'Kampfresultat Tabelle'!O29)</f>
        <v>-7</v>
      </c>
      <c r="P28" s="6">
        <f>IF(Charakterbogen!$AB$3='Kampfresultat Tabelle'!$A$6,'Kampfresultat Tabelle'!P$6,'Kampfresultat Tabelle'!P29)</f>
        <v>-8</v>
      </c>
      <c r="Q28" s="6">
        <f>IF(Charakterbogen!$AB$3='Kampfresultat Tabelle'!$A$6,'Kampfresultat Tabelle'!Q$6,'Kampfresultat Tabelle'!Q29)</f>
        <v>-8</v>
      </c>
      <c r="R28" s="6">
        <f>IF(Charakterbogen!$AB$3='Kampfresultat Tabelle'!$A$6,'Kampfresultat Tabelle'!R$6,'Kampfresultat Tabelle'!R29)</f>
        <v>-9</v>
      </c>
      <c r="S28" s="6">
        <f>IF(Charakterbogen!$AB$3='Kampfresultat Tabelle'!$A$6,'Kampfresultat Tabelle'!S$6,'Kampfresultat Tabelle'!S29)</f>
        <v>-9</v>
      </c>
      <c r="T28" s="6">
        <f>IF(Charakterbogen!$AB$3='Kampfresultat Tabelle'!$A$6,'Kampfresultat Tabelle'!T$6,'Kampfresultat Tabelle'!T29)</f>
        <v>-10</v>
      </c>
      <c r="U28" s="6">
        <f>IF(Charakterbogen!$AB$3='Kampfresultat Tabelle'!$A$6,'Kampfresultat Tabelle'!U$6,'Kampfresultat Tabelle'!U29)</f>
        <v>-10</v>
      </c>
      <c r="V28" s="6">
        <f>IF(Charakterbogen!$AB$3='Kampfresultat Tabelle'!$A$6,'Kampfresultat Tabelle'!V$6,'Kampfresultat Tabelle'!V29)</f>
        <v>-11</v>
      </c>
      <c r="W28" s="6">
        <f>IF(Charakterbogen!$AB$3='Kampfresultat Tabelle'!$A$6,'Kampfresultat Tabelle'!W$6,'Kampfresultat Tabelle'!W29)</f>
        <v>-11</v>
      </c>
      <c r="X28" s="6">
        <f>IF(Charakterbogen!$AB$3='Kampfresultat Tabelle'!$A$6,'Kampfresultat Tabelle'!X$6,'Kampfresultat Tabelle'!X29)</f>
        <v>-12</v>
      </c>
      <c r="Y28" s="6">
        <f>IF(Charakterbogen!$AB$3='Kampfresultat Tabelle'!$A$6,'Kampfresultat Tabelle'!Y$6,'Kampfresultat Tabelle'!Y29)</f>
        <v>-12</v>
      </c>
      <c r="Z28" s="33">
        <f>IF(Charakterbogen!$AB$3='Kampfresultat Tabelle'!$A$6,'Kampfresultat Tabelle'!Z$6,'Kampfresultat Tabelle'!Z29)</f>
        <v>-14</v>
      </c>
    </row>
    <row r="29" spans="2:26" ht="12.75">
      <c r="B29" s="34">
        <v>4</v>
      </c>
      <c r="C29" s="6">
        <f>IF(Charakterbogen!$AB$3='Kampfresultat Tabelle'!$A$8,'Kampfresultat Tabelle'!C$8,'Kampfresultat Tabelle'!C30)</f>
        <v>-1</v>
      </c>
      <c r="D29" s="6">
        <f>IF(Charakterbogen!$AB$3='Kampfresultat Tabelle'!$A$8,'Kampfresultat Tabelle'!D$8,'Kampfresultat Tabelle'!D30)</f>
        <v>-2</v>
      </c>
      <c r="E29" s="6">
        <f>IF(Charakterbogen!$AB$3='Kampfresultat Tabelle'!$A$8,'Kampfresultat Tabelle'!E$8,'Kampfresultat Tabelle'!E30)</f>
        <v>-2</v>
      </c>
      <c r="F29" s="6">
        <f>IF(Charakterbogen!$AB$3='Kampfresultat Tabelle'!$A$8,'Kampfresultat Tabelle'!F$8,'Kampfresultat Tabelle'!F30)</f>
        <v>-3</v>
      </c>
      <c r="G29" s="6">
        <f>IF(Charakterbogen!$AB$3='Kampfresultat Tabelle'!$A$8,'Kampfresultat Tabelle'!G$8,'Kampfresultat Tabelle'!G30)</f>
        <v>-3</v>
      </c>
      <c r="H29" s="6">
        <f>IF(Charakterbogen!$AB$3='Kampfresultat Tabelle'!$A$8,'Kampfresultat Tabelle'!H$8,'Kampfresultat Tabelle'!H30)</f>
        <v>-4</v>
      </c>
      <c r="I29" s="6">
        <f>IF(Charakterbogen!$AB$3='Kampfresultat Tabelle'!$A$8,'Kampfresultat Tabelle'!I$8,'Kampfresultat Tabelle'!I30)</f>
        <v>-4</v>
      </c>
      <c r="J29" s="6">
        <f>IF(Charakterbogen!$AB$3='Kampfresultat Tabelle'!$A$8,'Kampfresultat Tabelle'!J$8,'Kampfresultat Tabelle'!J30)</f>
        <v>-5</v>
      </c>
      <c r="K29" s="6">
        <f>IF(Charakterbogen!$AB$3='Kampfresultat Tabelle'!$A$8,'Kampfresultat Tabelle'!K$8,'Kampfresultat Tabelle'!K30)</f>
        <v>-5</v>
      </c>
      <c r="L29" s="6">
        <f>IF(Charakterbogen!$AB$3='Kampfresultat Tabelle'!$A$8,'Kampfresultat Tabelle'!L$8,'Kampfresultat Tabelle'!L30)</f>
        <v>-6</v>
      </c>
      <c r="M29" s="6">
        <f>IF(Charakterbogen!$AB$3='Kampfresultat Tabelle'!$A$8,'Kampfresultat Tabelle'!M$8,'Kampfresultat Tabelle'!M30)</f>
        <v>-6</v>
      </c>
      <c r="N29" s="6">
        <f>IF(Charakterbogen!$AB$3='Kampfresultat Tabelle'!$A$8,'Kampfresultat Tabelle'!N$8,'Kampfresultat Tabelle'!N30)</f>
        <v>-7</v>
      </c>
      <c r="O29" s="6">
        <f>IF(Charakterbogen!$AB$3='Kampfresultat Tabelle'!$A$8,'Kampfresultat Tabelle'!O$8,'Kampfresultat Tabelle'!O30)</f>
        <v>-7</v>
      </c>
      <c r="P29" s="6">
        <f>IF(Charakterbogen!$AB$3='Kampfresultat Tabelle'!$A$8,'Kampfresultat Tabelle'!P$8,'Kampfresultat Tabelle'!P30)</f>
        <v>-8</v>
      </c>
      <c r="Q29" s="6">
        <f>IF(Charakterbogen!$AB$3='Kampfresultat Tabelle'!$A$8,'Kampfresultat Tabelle'!Q$8,'Kampfresultat Tabelle'!Q30)</f>
        <v>-8</v>
      </c>
      <c r="R29" s="6">
        <f>IF(Charakterbogen!$AB$3='Kampfresultat Tabelle'!$A$8,'Kampfresultat Tabelle'!R$8,'Kampfresultat Tabelle'!R30)</f>
        <v>-9</v>
      </c>
      <c r="S29" s="6">
        <f>IF(Charakterbogen!$AB$3='Kampfresultat Tabelle'!$A$8,'Kampfresultat Tabelle'!S$8,'Kampfresultat Tabelle'!S30)</f>
        <v>-9</v>
      </c>
      <c r="T29" s="6">
        <f>IF(Charakterbogen!$AB$3='Kampfresultat Tabelle'!$A$8,'Kampfresultat Tabelle'!T$8,'Kampfresultat Tabelle'!T30)</f>
        <v>-10</v>
      </c>
      <c r="U29" s="6">
        <f>IF(Charakterbogen!$AB$3='Kampfresultat Tabelle'!$A$8,'Kampfresultat Tabelle'!U$8,'Kampfresultat Tabelle'!U30)</f>
        <v>-10</v>
      </c>
      <c r="V29" s="6">
        <f>IF(Charakterbogen!$AB$3='Kampfresultat Tabelle'!$A$8,'Kampfresultat Tabelle'!V$8,'Kampfresultat Tabelle'!V30)</f>
        <v>-11</v>
      </c>
      <c r="W29" s="6">
        <f>IF(Charakterbogen!$AB$3='Kampfresultat Tabelle'!$A$8,'Kampfresultat Tabelle'!W$8,'Kampfresultat Tabelle'!W30)</f>
        <v>-11</v>
      </c>
      <c r="X29" s="6">
        <f>IF(Charakterbogen!$AB$3='Kampfresultat Tabelle'!$A$8,'Kampfresultat Tabelle'!X$8,'Kampfresultat Tabelle'!X30)</f>
        <v>-12</v>
      </c>
      <c r="Y29" s="6">
        <f>IF(Charakterbogen!$AB$3='Kampfresultat Tabelle'!$A$8,'Kampfresultat Tabelle'!Y$8,'Kampfresultat Tabelle'!Y30)</f>
        <v>-12</v>
      </c>
      <c r="Z29" s="33">
        <f>IF(Charakterbogen!$AB$3='Kampfresultat Tabelle'!$A$8,'Kampfresultat Tabelle'!Z$8,'Kampfresultat Tabelle'!Z30)</f>
        <v>-14</v>
      </c>
    </row>
    <row r="30" spans="2:26" ht="12.75">
      <c r="B30" s="34">
        <v>5</v>
      </c>
      <c r="C30" s="6">
        <f>IF(Charakterbogen!$AB$3='Kampfresultat Tabelle'!$A$10,'Kampfresultat Tabelle'!C$10,'Kampfresultat Tabelle'!C31)</f>
        <v>-1</v>
      </c>
      <c r="D30" s="6">
        <f>IF(Charakterbogen!$AB$3='Kampfresultat Tabelle'!$A$10,'Kampfresultat Tabelle'!D$10,'Kampfresultat Tabelle'!D31)</f>
        <v>-2</v>
      </c>
      <c r="E30" s="6">
        <f>IF(Charakterbogen!$AB$3='Kampfresultat Tabelle'!$A$10,'Kampfresultat Tabelle'!E$10,'Kampfresultat Tabelle'!E31)</f>
        <v>-2</v>
      </c>
      <c r="F30" s="6">
        <f>IF(Charakterbogen!$AB$3='Kampfresultat Tabelle'!$A$10,'Kampfresultat Tabelle'!F$10,'Kampfresultat Tabelle'!F31)</f>
        <v>-3</v>
      </c>
      <c r="G30" s="6">
        <f>IF(Charakterbogen!$AB$3='Kampfresultat Tabelle'!$A$10,'Kampfresultat Tabelle'!G$10,'Kampfresultat Tabelle'!G31)</f>
        <v>-3</v>
      </c>
      <c r="H30" s="6">
        <f>IF(Charakterbogen!$AB$3='Kampfresultat Tabelle'!$A$10,'Kampfresultat Tabelle'!H$10,'Kampfresultat Tabelle'!H31)</f>
        <v>-4</v>
      </c>
      <c r="I30" s="6">
        <f>IF(Charakterbogen!$AB$3='Kampfresultat Tabelle'!$A$10,'Kampfresultat Tabelle'!I$10,'Kampfresultat Tabelle'!I31)</f>
        <v>-4</v>
      </c>
      <c r="J30" s="6">
        <f>IF(Charakterbogen!$AB$3='Kampfresultat Tabelle'!$A$10,'Kampfresultat Tabelle'!J$10,'Kampfresultat Tabelle'!J31)</f>
        <v>-5</v>
      </c>
      <c r="K30" s="6">
        <f>IF(Charakterbogen!$AB$3='Kampfresultat Tabelle'!$A$10,'Kampfresultat Tabelle'!K$10,'Kampfresultat Tabelle'!K31)</f>
        <v>-5</v>
      </c>
      <c r="L30" s="6">
        <f>IF(Charakterbogen!$AB$3='Kampfresultat Tabelle'!$A$10,'Kampfresultat Tabelle'!L$10,'Kampfresultat Tabelle'!L31)</f>
        <v>-6</v>
      </c>
      <c r="M30" s="6">
        <f>IF(Charakterbogen!$AB$3='Kampfresultat Tabelle'!$A$10,'Kampfresultat Tabelle'!M$10,'Kampfresultat Tabelle'!M31)</f>
        <v>-6</v>
      </c>
      <c r="N30" s="6">
        <f>IF(Charakterbogen!$AB$3='Kampfresultat Tabelle'!$A$10,'Kampfresultat Tabelle'!N$10,'Kampfresultat Tabelle'!N31)</f>
        <v>-7</v>
      </c>
      <c r="O30" s="6">
        <f>IF(Charakterbogen!$AB$3='Kampfresultat Tabelle'!$A$10,'Kampfresultat Tabelle'!O$10,'Kampfresultat Tabelle'!O31)</f>
        <v>-7</v>
      </c>
      <c r="P30" s="6">
        <f>IF(Charakterbogen!$AB$3='Kampfresultat Tabelle'!$A$10,'Kampfresultat Tabelle'!P$10,'Kampfresultat Tabelle'!P31)</f>
        <v>-8</v>
      </c>
      <c r="Q30" s="6">
        <f>IF(Charakterbogen!$AB$3='Kampfresultat Tabelle'!$A$10,'Kampfresultat Tabelle'!Q$10,'Kampfresultat Tabelle'!Q31)</f>
        <v>-8</v>
      </c>
      <c r="R30" s="6">
        <f>IF(Charakterbogen!$AB$3='Kampfresultat Tabelle'!$A$10,'Kampfresultat Tabelle'!R$10,'Kampfresultat Tabelle'!R31)</f>
        <v>-9</v>
      </c>
      <c r="S30" s="6">
        <f>IF(Charakterbogen!$AB$3='Kampfresultat Tabelle'!$A$10,'Kampfresultat Tabelle'!S$10,'Kampfresultat Tabelle'!S31)</f>
        <v>-9</v>
      </c>
      <c r="T30" s="6">
        <f>IF(Charakterbogen!$AB$3='Kampfresultat Tabelle'!$A$10,'Kampfresultat Tabelle'!T$10,'Kampfresultat Tabelle'!T31)</f>
        <v>-10</v>
      </c>
      <c r="U30" s="6">
        <f>IF(Charakterbogen!$AB$3='Kampfresultat Tabelle'!$A$10,'Kampfresultat Tabelle'!U$10,'Kampfresultat Tabelle'!U31)</f>
        <v>-10</v>
      </c>
      <c r="V30" s="6">
        <f>IF(Charakterbogen!$AB$3='Kampfresultat Tabelle'!$A$10,'Kampfresultat Tabelle'!V$10,'Kampfresultat Tabelle'!V31)</f>
        <v>-11</v>
      </c>
      <c r="W30" s="6">
        <f>IF(Charakterbogen!$AB$3='Kampfresultat Tabelle'!$A$10,'Kampfresultat Tabelle'!W$10,'Kampfresultat Tabelle'!W31)</f>
        <v>-11</v>
      </c>
      <c r="X30" s="6">
        <f>IF(Charakterbogen!$AB$3='Kampfresultat Tabelle'!$A$10,'Kampfresultat Tabelle'!X$10,'Kampfresultat Tabelle'!X31)</f>
        <v>-12</v>
      </c>
      <c r="Y30" s="6">
        <f>IF(Charakterbogen!$AB$3='Kampfresultat Tabelle'!$A$10,'Kampfresultat Tabelle'!Y$10,'Kampfresultat Tabelle'!Y31)</f>
        <v>-12</v>
      </c>
      <c r="Z30" s="33">
        <f>IF(Charakterbogen!$AB$3='Kampfresultat Tabelle'!$A$10,'Kampfresultat Tabelle'!Z$10,'Kampfresultat Tabelle'!Z31)</f>
        <v>-14</v>
      </c>
    </row>
    <row r="31" spans="2:26" ht="12.75">
      <c r="B31" s="34">
        <v>6</v>
      </c>
      <c r="C31" s="6">
        <f>IF(Charakterbogen!$AB$3='Kampfresultat Tabelle'!$A$12,'Kampfresultat Tabelle'!C$12,'Kampfresultat Tabelle'!C32)</f>
        <v>-1</v>
      </c>
      <c r="D31" s="6">
        <f>IF(Charakterbogen!$AB$3='Kampfresultat Tabelle'!$A$12,'Kampfresultat Tabelle'!D$12,'Kampfresultat Tabelle'!D32)</f>
        <v>-2</v>
      </c>
      <c r="E31" s="6">
        <f>IF(Charakterbogen!$AB$3='Kampfresultat Tabelle'!$A$12,'Kampfresultat Tabelle'!E$12,'Kampfresultat Tabelle'!E32)</f>
        <v>-2</v>
      </c>
      <c r="F31" s="6">
        <f>IF(Charakterbogen!$AB$3='Kampfresultat Tabelle'!$A$12,'Kampfresultat Tabelle'!F$12,'Kampfresultat Tabelle'!F32)</f>
        <v>-3</v>
      </c>
      <c r="G31" s="6">
        <f>IF(Charakterbogen!$AB$3='Kampfresultat Tabelle'!$A$12,'Kampfresultat Tabelle'!G$12,'Kampfresultat Tabelle'!G32)</f>
        <v>-3</v>
      </c>
      <c r="H31" s="6">
        <f>IF(Charakterbogen!$AB$3='Kampfresultat Tabelle'!$A$12,'Kampfresultat Tabelle'!H$12,'Kampfresultat Tabelle'!H32)</f>
        <v>-4</v>
      </c>
      <c r="I31" s="6">
        <f>IF(Charakterbogen!$AB$3='Kampfresultat Tabelle'!$A$12,'Kampfresultat Tabelle'!I$12,'Kampfresultat Tabelle'!I32)</f>
        <v>-4</v>
      </c>
      <c r="J31" s="6">
        <f>IF(Charakterbogen!$AB$3='Kampfresultat Tabelle'!$A$12,'Kampfresultat Tabelle'!J$12,'Kampfresultat Tabelle'!J32)</f>
        <v>-5</v>
      </c>
      <c r="K31" s="6">
        <f>IF(Charakterbogen!$AB$3='Kampfresultat Tabelle'!$A$12,'Kampfresultat Tabelle'!K$12,'Kampfresultat Tabelle'!K32)</f>
        <v>-5</v>
      </c>
      <c r="L31" s="6">
        <f>IF(Charakterbogen!$AB$3='Kampfresultat Tabelle'!$A$12,'Kampfresultat Tabelle'!L$12,'Kampfresultat Tabelle'!L32)</f>
        <v>-6</v>
      </c>
      <c r="M31" s="6">
        <f>IF(Charakterbogen!$AB$3='Kampfresultat Tabelle'!$A$12,'Kampfresultat Tabelle'!M$12,'Kampfresultat Tabelle'!M32)</f>
        <v>-6</v>
      </c>
      <c r="N31" s="6">
        <f>IF(Charakterbogen!$AB$3='Kampfresultat Tabelle'!$A$12,'Kampfresultat Tabelle'!N$12,'Kampfresultat Tabelle'!N32)</f>
        <v>-7</v>
      </c>
      <c r="O31" s="6">
        <f>IF(Charakterbogen!$AB$3='Kampfresultat Tabelle'!$A$12,'Kampfresultat Tabelle'!O$12,'Kampfresultat Tabelle'!O32)</f>
        <v>-7</v>
      </c>
      <c r="P31" s="6">
        <f>IF(Charakterbogen!$AB$3='Kampfresultat Tabelle'!$A$12,'Kampfresultat Tabelle'!P$12,'Kampfresultat Tabelle'!P32)</f>
        <v>-8</v>
      </c>
      <c r="Q31" s="6">
        <f>IF(Charakterbogen!$AB$3='Kampfresultat Tabelle'!$A$12,'Kampfresultat Tabelle'!Q$12,'Kampfresultat Tabelle'!Q32)</f>
        <v>-8</v>
      </c>
      <c r="R31" s="6">
        <f>IF(Charakterbogen!$AB$3='Kampfresultat Tabelle'!$A$12,'Kampfresultat Tabelle'!R$12,'Kampfresultat Tabelle'!R32)</f>
        <v>-9</v>
      </c>
      <c r="S31" s="6">
        <f>IF(Charakterbogen!$AB$3='Kampfresultat Tabelle'!$A$12,'Kampfresultat Tabelle'!S$12,'Kampfresultat Tabelle'!S32)</f>
        <v>-9</v>
      </c>
      <c r="T31" s="6">
        <f>IF(Charakterbogen!$AB$3='Kampfresultat Tabelle'!$A$12,'Kampfresultat Tabelle'!T$12,'Kampfresultat Tabelle'!T32)</f>
        <v>-10</v>
      </c>
      <c r="U31" s="6">
        <f>IF(Charakterbogen!$AB$3='Kampfresultat Tabelle'!$A$12,'Kampfresultat Tabelle'!U$12,'Kampfresultat Tabelle'!U32)</f>
        <v>-10</v>
      </c>
      <c r="V31" s="6">
        <f>IF(Charakterbogen!$AB$3='Kampfresultat Tabelle'!$A$12,'Kampfresultat Tabelle'!V$12,'Kampfresultat Tabelle'!V32)</f>
        <v>-11</v>
      </c>
      <c r="W31" s="6">
        <f>IF(Charakterbogen!$AB$3='Kampfresultat Tabelle'!$A$12,'Kampfresultat Tabelle'!W$12,'Kampfresultat Tabelle'!W32)</f>
        <v>-11</v>
      </c>
      <c r="X31" s="6">
        <f>IF(Charakterbogen!$AB$3='Kampfresultat Tabelle'!$A$12,'Kampfresultat Tabelle'!X$12,'Kampfresultat Tabelle'!X32)</f>
        <v>-12</v>
      </c>
      <c r="Y31" s="6">
        <f>IF(Charakterbogen!$AB$3='Kampfresultat Tabelle'!$A$12,'Kampfresultat Tabelle'!Y$12,'Kampfresultat Tabelle'!Y32)</f>
        <v>-12</v>
      </c>
      <c r="Z31" s="33">
        <f>IF(Charakterbogen!$AB$3='Kampfresultat Tabelle'!$A$12,'Kampfresultat Tabelle'!Z$12,'Kampfresultat Tabelle'!Z32)</f>
        <v>-14</v>
      </c>
    </row>
    <row r="32" spans="2:26" ht="12.75">
      <c r="B32" s="34">
        <v>7</v>
      </c>
      <c r="C32" s="6">
        <f>IF(Charakterbogen!$AB$3='Kampfresultat Tabelle'!$A$14,'Kampfresultat Tabelle'!C$14,'Kampfresultat Tabelle'!C33)</f>
        <v>-1</v>
      </c>
      <c r="D32" s="6">
        <f>IF(Charakterbogen!$AB$3='Kampfresultat Tabelle'!$A$14,'Kampfresultat Tabelle'!D$14,'Kampfresultat Tabelle'!D33)</f>
        <v>-2</v>
      </c>
      <c r="E32" s="6">
        <f>IF(Charakterbogen!$AB$3='Kampfresultat Tabelle'!$A$14,'Kampfresultat Tabelle'!E$14,'Kampfresultat Tabelle'!E33)</f>
        <v>-2</v>
      </c>
      <c r="F32" s="6">
        <f>IF(Charakterbogen!$AB$3='Kampfresultat Tabelle'!$A$14,'Kampfresultat Tabelle'!F$14,'Kampfresultat Tabelle'!F33)</f>
        <v>-3</v>
      </c>
      <c r="G32" s="6">
        <f>IF(Charakterbogen!$AB$3='Kampfresultat Tabelle'!$A$14,'Kampfresultat Tabelle'!G$14,'Kampfresultat Tabelle'!G33)</f>
        <v>-3</v>
      </c>
      <c r="H32" s="6">
        <f>IF(Charakterbogen!$AB$3='Kampfresultat Tabelle'!$A$14,'Kampfresultat Tabelle'!H$14,'Kampfresultat Tabelle'!H33)</f>
        <v>-4</v>
      </c>
      <c r="I32" s="6">
        <f>IF(Charakterbogen!$AB$3='Kampfresultat Tabelle'!$A$14,'Kampfresultat Tabelle'!I$14,'Kampfresultat Tabelle'!I33)</f>
        <v>-4</v>
      </c>
      <c r="J32" s="6">
        <f>IF(Charakterbogen!$AB$3='Kampfresultat Tabelle'!$A$14,'Kampfresultat Tabelle'!J$14,'Kampfresultat Tabelle'!J33)</f>
        <v>-5</v>
      </c>
      <c r="K32" s="6">
        <f>IF(Charakterbogen!$AB$3='Kampfresultat Tabelle'!$A$14,'Kampfresultat Tabelle'!K$14,'Kampfresultat Tabelle'!K33)</f>
        <v>-5</v>
      </c>
      <c r="L32" s="6">
        <f>IF(Charakterbogen!$AB$3='Kampfresultat Tabelle'!$A$14,'Kampfresultat Tabelle'!L$14,'Kampfresultat Tabelle'!L33)</f>
        <v>-6</v>
      </c>
      <c r="M32" s="6">
        <f>IF(Charakterbogen!$AB$3='Kampfresultat Tabelle'!$A$14,'Kampfresultat Tabelle'!M$14,'Kampfresultat Tabelle'!M33)</f>
        <v>-6</v>
      </c>
      <c r="N32" s="6">
        <f>IF(Charakterbogen!$AB$3='Kampfresultat Tabelle'!$A$14,'Kampfresultat Tabelle'!N$14,'Kampfresultat Tabelle'!N33)</f>
        <v>-7</v>
      </c>
      <c r="O32" s="6">
        <f>IF(Charakterbogen!$AB$3='Kampfresultat Tabelle'!$A$14,'Kampfresultat Tabelle'!O$14,'Kampfresultat Tabelle'!O33)</f>
        <v>-7</v>
      </c>
      <c r="P32" s="6">
        <f>IF(Charakterbogen!$AB$3='Kampfresultat Tabelle'!$A$14,'Kampfresultat Tabelle'!P$14,'Kampfresultat Tabelle'!P33)</f>
        <v>-8</v>
      </c>
      <c r="Q32" s="6">
        <f>IF(Charakterbogen!$AB$3='Kampfresultat Tabelle'!$A$14,'Kampfresultat Tabelle'!Q$14,'Kampfresultat Tabelle'!Q33)</f>
        <v>-8</v>
      </c>
      <c r="R32" s="6">
        <f>IF(Charakterbogen!$AB$3='Kampfresultat Tabelle'!$A$14,'Kampfresultat Tabelle'!R$14,'Kampfresultat Tabelle'!R33)</f>
        <v>-9</v>
      </c>
      <c r="S32" s="6">
        <f>IF(Charakterbogen!$AB$3='Kampfresultat Tabelle'!$A$14,'Kampfresultat Tabelle'!S$14,'Kampfresultat Tabelle'!S33)</f>
        <v>-9</v>
      </c>
      <c r="T32" s="6">
        <f>IF(Charakterbogen!$AB$3='Kampfresultat Tabelle'!$A$14,'Kampfresultat Tabelle'!T$14,'Kampfresultat Tabelle'!T33)</f>
        <v>-10</v>
      </c>
      <c r="U32" s="6">
        <f>IF(Charakterbogen!$AB$3='Kampfresultat Tabelle'!$A$14,'Kampfresultat Tabelle'!U$14,'Kampfresultat Tabelle'!U33)</f>
        <v>-10</v>
      </c>
      <c r="V32" s="6">
        <f>IF(Charakterbogen!$AB$3='Kampfresultat Tabelle'!$A$14,'Kampfresultat Tabelle'!V$14,'Kampfresultat Tabelle'!V33)</f>
        <v>-11</v>
      </c>
      <c r="W32" s="6">
        <f>IF(Charakterbogen!$AB$3='Kampfresultat Tabelle'!$A$14,'Kampfresultat Tabelle'!W$14,'Kampfresultat Tabelle'!W33)</f>
        <v>-11</v>
      </c>
      <c r="X32" s="6">
        <f>IF(Charakterbogen!$AB$3='Kampfresultat Tabelle'!$A$14,'Kampfresultat Tabelle'!X$14,'Kampfresultat Tabelle'!X33)</f>
        <v>-12</v>
      </c>
      <c r="Y32" s="6">
        <f>IF(Charakterbogen!$AB$3='Kampfresultat Tabelle'!$A$14,'Kampfresultat Tabelle'!Y$14,'Kampfresultat Tabelle'!Y33)</f>
        <v>-12</v>
      </c>
      <c r="Z32" s="33">
        <f>IF(Charakterbogen!$AB$3='Kampfresultat Tabelle'!$A$14,'Kampfresultat Tabelle'!Z$14,'Kampfresultat Tabelle'!Z33)</f>
        <v>-14</v>
      </c>
    </row>
    <row r="33" spans="2:26" ht="12.75">
      <c r="B33" s="34">
        <v>8</v>
      </c>
      <c r="C33" s="6">
        <f>IF(Charakterbogen!$AB$3='Kampfresultat Tabelle'!$A$16,'Kampfresultat Tabelle'!C$16,'Kampfresultat Tabelle'!C34)</f>
        <v>-1</v>
      </c>
      <c r="D33" s="6">
        <f>IF(Charakterbogen!$AB$3='Kampfresultat Tabelle'!$A$16,'Kampfresultat Tabelle'!D$16,'Kampfresultat Tabelle'!D34)</f>
        <v>-2</v>
      </c>
      <c r="E33" s="6">
        <f>IF(Charakterbogen!$AB$3='Kampfresultat Tabelle'!$A$16,'Kampfresultat Tabelle'!E$16,'Kampfresultat Tabelle'!E34)</f>
        <v>-2</v>
      </c>
      <c r="F33" s="6">
        <f>IF(Charakterbogen!$AB$3='Kampfresultat Tabelle'!$A$16,'Kampfresultat Tabelle'!F$16,'Kampfresultat Tabelle'!F34)</f>
        <v>-3</v>
      </c>
      <c r="G33" s="6">
        <f>IF(Charakterbogen!$AB$3='Kampfresultat Tabelle'!$A$16,'Kampfresultat Tabelle'!G$16,'Kampfresultat Tabelle'!G34)</f>
        <v>-3</v>
      </c>
      <c r="H33" s="6">
        <f>IF(Charakterbogen!$AB$3='Kampfresultat Tabelle'!$A$16,'Kampfresultat Tabelle'!H$16,'Kampfresultat Tabelle'!H34)</f>
        <v>-4</v>
      </c>
      <c r="I33" s="6">
        <f>IF(Charakterbogen!$AB$3='Kampfresultat Tabelle'!$A$16,'Kampfresultat Tabelle'!I$16,'Kampfresultat Tabelle'!I34)</f>
        <v>-4</v>
      </c>
      <c r="J33" s="6">
        <f>IF(Charakterbogen!$AB$3='Kampfresultat Tabelle'!$A$16,'Kampfresultat Tabelle'!J$16,'Kampfresultat Tabelle'!J34)</f>
        <v>-5</v>
      </c>
      <c r="K33" s="6">
        <f>IF(Charakterbogen!$AB$3='Kampfresultat Tabelle'!$A$16,'Kampfresultat Tabelle'!K$16,'Kampfresultat Tabelle'!K34)</f>
        <v>-5</v>
      </c>
      <c r="L33" s="6">
        <f>IF(Charakterbogen!$AB$3='Kampfresultat Tabelle'!$A$16,'Kampfresultat Tabelle'!L$16,'Kampfresultat Tabelle'!L34)</f>
        <v>-6</v>
      </c>
      <c r="M33" s="6">
        <f>IF(Charakterbogen!$AB$3='Kampfresultat Tabelle'!$A$16,'Kampfresultat Tabelle'!M$16,'Kampfresultat Tabelle'!M34)</f>
        <v>-6</v>
      </c>
      <c r="N33" s="6">
        <f>IF(Charakterbogen!$AB$3='Kampfresultat Tabelle'!$A$16,'Kampfresultat Tabelle'!N$16,'Kampfresultat Tabelle'!N34)</f>
        <v>-7</v>
      </c>
      <c r="O33" s="6">
        <f>IF(Charakterbogen!$AB$3='Kampfresultat Tabelle'!$A$16,'Kampfresultat Tabelle'!O$16,'Kampfresultat Tabelle'!O34)</f>
        <v>-7</v>
      </c>
      <c r="P33" s="6">
        <f>IF(Charakterbogen!$AB$3='Kampfresultat Tabelle'!$A$16,'Kampfresultat Tabelle'!P$16,'Kampfresultat Tabelle'!P34)</f>
        <v>-8</v>
      </c>
      <c r="Q33" s="6">
        <f>IF(Charakterbogen!$AB$3='Kampfresultat Tabelle'!$A$16,'Kampfresultat Tabelle'!Q$16,'Kampfresultat Tabelle'!Q34)</f>
        <v>-8</v>
      </c>
      <c r="R33" s="6">
        <f>IF(Charakterbogen!$AB$3='Kampfresultat Tabelle'!$A$16,'Kampfresultat Tabelle'!R$16,'Kampfresultat Tabelle'!R34)</f>
        <v>-9</v>
      </c>
      <c r="S33" s="6">
        <f>IF(Charakterbogen!$AB$3='Kampfresultat Tabelle'!$A$16,'Kampfresultat Tabelle'!S$16,'Kampfresultat Tabelle'!S34)</f>
        <v>-9</v>
      </c>
      <c r="T33" s="6">
        <f>IF(Charakterbogen!$AB$3='Kampfresultat Tabelle'!$A$16,'Kampfresultat Tabelle'!T$16,'Kampfresultat Tabelle'!T34)</f>
        <v>-10</v>
      </c>
      <c r="U33" s="6">
        <f>IF(Charakterbogen!$AB$3='Kampfresultat Tabelle'!$A$16,'Kampfresultat Tabelle'!U$16,'Kampfresultat Tabelle'!U34)</f>
        <v>-10</v>
      </c>
      <c r="V33" s="6">
        <f>IF(Charakterbogen!$AB$3='Kampfresultat Tabelle'!$A$16,'Kampfresultat Tabelle'!V$16,'Kampfresultat Tabelle'!V34)</f>
        <v>-11</v>
      </c>
      <c r="W33" s="6">
        <f>IF(Charakterbogen!$AB$3='Kampfresultat Tabelle'!$A$16,'Kampfresultat Tabelle'!W$16,'Kampfresultat Tabelle'!W34)</f>
        <v>-11</v>
      </c>
      <c r="X33" s="6">
        <f>IF(Charakterbogen!$AB$3='Kampfresultat Tabelle'!$A$16,'Kampfresultat Tabelle'!X$16,'Kampfresultat Tabelle'!X34)</f>
        <v>-12</v>
      </c>
      <c r="Y33" s="6">
        <f>IF(Charakterbogen!$AB$3='Kampfresultat Tabelle'!$A$16,'Kampfresultat Tabelle'!Y$16,'Kampfresultat Tabelle'!Y34)</f>
        <v>-12</v>
      </c>
      <c r="Z33" s="33">
        <f>IF(Charakterbogen!$AB$3='Kampfresultat Tabelle'!$A$16,'Kampfresultat Tabelle'!Z$16,'Kampfresultat Tabelle'!Z34)</f>
        <v>-14</v>
      </c>
    </row>
    <row r="34" spans="2:26" ht="12.75">
      <c r="B34" s="34">
        <v>9</v>
      </c>
      <c r="C34" s="6">
        <f>IF(Charakterbogen!$AB$3='Kampfresultat Tabelle'!$A$18,'Kampfresultat Tabelle'!C$18,'Kampfresultat Tabelle'!C35)</f>
        <v>-1</v>
      </c>
      <c r="D34" s="6">
        <f>IF(Charakterbogen!$AB$3='Kampfresultat Tabelle'!$A$18,'Kampfresultat Tabelle'!D$18,'Kampfresultat Tabelle'!D35)</f>
        <v>-2</v>
      </c>
      <c r="E34" s="6">
        <f>IF(Charakterbogen!$AB$3='Kampfresultat Tabelle'!$A$18,'Kampfresultat Tabelle'!E$18,'Kampfresultat Tabelle'!E35)</f>
        <v>-2</v>
      </c>
      <c r="F34" s="6">
        <f>IF(Charakterbogen!$AB$3='Kampfresultat Tabelle'!$A$18,'Kampfresultat Tabelle'!F$18,'Kampfresultat Tabelle'!F35)</f>
        <v>-3</v>
      </c>
      <c r="G34" s="6">
        <f>IF(Charakterbogen!$AB$3='Kampfresultat Tabelle'!$A$18,'Kampfresultat Tabelle'!G$18,'Kampfresultat Tabelle'!G35)</f>
        <v>-3</v>
      </c>
      <c r="H34" s="6">
        <f>IF(Charakterbogen!$AB$3='Kampfresultat Tabelle'!$A$18,'Kampfresultat Tabelle'!H$18,'Kampfresultat Tabelle'!H35)</f>
        <v>-4</v>
      </c>
      <c r="I34" s="6">
        <f>IF(Charakterbogen!$AB$3='Kampfresultat Tabelle'!$A$18,'Kampfresultat Tabelle'!I$18,'Kampfresultat Tabelle'!I35)</f>
        <v>-4</v>
      </c>
      <c r="J34" s="6">
        <f>IF(Charakterbogen!$AB$3='Kampfresultat Tabelle'!$A$18,'Kampfresultat Tabelle'!J$18,'Kampfresultat Tabelle'!J35)</f>
        <v>-5</v>
      </c>
      <c r="K34" s="6">
        <f>IF(Charakterbogen!$AB$3='Kampfresultat Tabelle'!$A$18,'Kampfresultat Tabelle'!K$18,'Kampfresultat Tabelle'!K35)</f>
        <v>-5</v>
      </c>
      <c r="L34" s="6">
        <f>IF(Charakterbogen!$AB$3='Kampfresultat Tabelle'!$A$18,'Kampfresultat Tabelle'!L$18,'Kampfresultat Tabelle'!L35)</f>
        <v>-6</v>
      </c>
      <c r="M34" s="6">
        <f>IF(Charakterbogen!$AB$3='Kampfresultat Tabelle'!$A$18,'Kampfresultat Tabelle'!M$18,'Kampfresultat Tabelle'!M35)</f>
        <v>-6</v>
      </c>
      <c r="N34" s="6">
        <f>IF(Charakterbogen!$AB$3='Kampfresultat Tabelle'!$A$18,'Kampfresultat Tabelle'!N$18,'Kampfresultat Tabelle'!N35)</f>
        <v>-7</v>
      </c>
      <c r="O34" s="6">
        <f>IF(Charakterbogen!$AB$3='Kampfresultat Tabelle'!$A$18,'Kampfresultat Tabelle'!O$18,'Kampfresultat Tabelle'!O35)</f>
        <v>-7</v>
      </c>
      <c r="P34" s="6">
        <f>IF(Charakterbogen!$AB$3='Kampfresultat Tabelle'!$A$18,'Kampfresultat Tabelle'!P$18,'Kampfresultat Tabelle'!P35)</f>
        <v>-8</v>
      </c>
      <c r="Q34" s="6">
        <f>IF(Charakterbogen!$AB$3='Kampfresultat Tabelle'!$A$18,'Kampfresultat Tabelle'!Q$18,'Kampfresultat Tabelle'!Q35)</f>
        <v>-8</v>
      </c>
      <c r="R34" s="6">
        <f>IF(Charakterbogen!$AB$3='Kampfresultat Tabelle'!$A$18,'Kampfresultat Tabelle'!R$18,'Kampfresultat Tabelle'!R35)</f>
        <v>-9</v>
      </c>
      <c r="S34" s="6">
        <f>IF(Charakterbogen!$AB$3='Kampfresultat Tabelle'!$A$18,'Kampfresultat Tabelle'!S$18,'Kampfresultat Tabelle'!S35)</f>
        <v>-9</v>
      </c>
      <c r="T34" s="6">
        <f>IF(Charakterbogen!$AB$3='Kampfresultat Tabelle'!$A$18,'Kampfresultat Tabelle'!T$18,'Kampfresultat Tabelle'!T35)</f>
        <v>-10</v>
      </c>
      <c r="U34" s="6">
        <f>IF(Charakterbogen!$AB$3='Kampfresultat Tabelle'!$A$18,'Kampfresultat Tabelle'!U$18,'Kampfresultat Tabelle'!U35)</f>
        <v>-10</v>
      </c>
      <c r="V34" s="6">
        <f>IF(Charakterbogen!$AB$3='Kampfresultat Tabelle'!$A$18,'Kampfresultat Tabelle'!V$18,'Kampfresultat Tabelle'!V35)</f>
        <v>-11</v>
      </c>
      <c r="W34" s="6">
        <f>IF(Charakterbogen!$AB$3='Kampfresultat Tabelle'!$A$18,'Kampfresultat Tabelle'!W$18,'Kampfresultat Tabelle'!W35)</f>
        <v>-11</v>
      </c>
      <c r="X34" s="6">
        <f>IF(Charakterbogen!$AB$3='Kampfresultat Tabelle'!$A$18,'Kampfresultat Tabelle'!X$18,'Kampfresultat Tabelle'!X35)</f>
        <v>-12</v>
      </c>
      <c r="Y34" s="6">
        <f>IF(Charakterbogen!$AB$3='Kampfresultat Tabelle'!$A$18,'Kampfresultat Tabelle'!Y$18,'Kampfresultat Tabelle'!Y35)</f>
        <v>-12</v>
      </c>
      <c r="Z34" s="33">
        <f>IF(Charakterbogen!$AB$3='Kampfresultat Tabelle'!$A$18,'Kampfresultat Tabelle'!Z$18,'Kampfresultat Tabelle'!Z35)</f>
        <v>-14</v>
      </c>
    </row>
    <row r="35" spans="2:26" ht="12.75">
      <c r="B35" s="34">
        <v>0</v>
      </c>
      <c r="C35" s="6">
        <f>IF(Charakterbogen!$AB$3='Kampfresultat Tabelle'!$A$20,'Kampfresultat Tabelle'!C$20,C26)</f>
        <v>-1</v>
      </c>
      <c r="D35" s="6">
        <f>IF(Charakterbogen!$AB$3='Kampfresultat Tabelle'!$A$20,'Kampfresultat Tabelle'!D$20,D26)</f>
        <v>-2</v>
      </c>
      <c r="E35" s="6">
        <f>IF(Charakterbogen!$AB$3='Kampfresultat Tabelle'!$A$20,'Kampfresultat Tabelle'!E$20,E26)</f>
        <v>-2</v>
      </c>
      <c r="F35" s="6">
        <f>IF(Charakterbogen!$AB$3='Kampfresultat Tabelle'!$A$20,'Kampfresultat Tabelle'!F$20,F26)</f>
        <v>-3</v>
      </c>
      <c r="G35" s="6">
        <f>IF(Charakterbogen!$AB$3='Kampfresultat Tabelle'!$A$20,'Kampfresultat Tabelle'!G$20,G26)</f>
        <v>-3</v>
      </c>
      <c r="H35" s="6">
        <f>IF(Charakterbogen!$AB$3='Kampfresultat Tabelle'!$A$20,'Kampfresultat Tabelle'!H$20,H26)</f>
        <v>-4</v>
      </c>
      <c r="I35" s="6">
        <f>IF(Charakterbogen!$AB$3='Kampfresultat Tabelle'!$A$20,'Kampfresultat Tabelle'!I$20,I26)</f>
        <v>-4</v>
      </c>
      <c r="J35" s="6">
        <f>IF(Charakterbogen!$AB$3='Kampfresultat Tabelle'!$A$20,'Kampfresultat Tabelle'!J$20,J26)</f>
        <v>-5</v>
      </c>
      <c r="K35" s="6">
        <f>IF(Charakterbogen!$AB$3='Kampfresultat Tabelle'!$A$20,'Kampfresultat Tabelle'!K$20,K26)</f>
        <v>-5</v>
      </c>
      <c r="L35" s="6">
        <f>IF(Charakterbogen!$AB$3='Kampfresultat Tabelle'!$A$20,'Kampfresultat Tabelle'!L$20,L26)</f>
        <v>-6</v>
      </c>
      <c r="M35" s="6">
        <f>IF(Charakterbogen!$AB$3='Kampfresultat Tabelle'!$A$20,'Kampfresultat Tabelle'!M$20,M26)</f>
        <v>-6</v>
      </c>
      <c r="N35" s="6">
        <f>IF(Charakterbogen!$AB$3='Kampfresultat Tabelle'!$A$20,'Kampfresultat Tabelle'!N$20,N26)</f>
        <v>-7</v>
      </c>
      <c r="O35" s="6">
        <f>IF(Charakterbogen!$AB$3='Kampfresultat Tabelle'!$A$20,'Kampfresultat Tabelle'!O$20,O26)</f>
        <v>-7</v>
      </c>
      <c r="P35" s="6">
        <f>IF(Charakterbogen!$AB$3='Kampfresultat Tabelle'!$A$20,'Kampfresultat Tabelle'!P$20,P26)</f>
        <v>-8</v>
      </c>
      <c r="Q35" s="6">
        <f>IF(Charakterbogen!$AB$3='Kampfresultat Tabelle'!$A$20,'Kampfresultat Tabelle'!Q$20,Q26)</f>
        <v>-8</v>
      </c>
      <c r="R35" s="6">
        <f>IF(Charakterbogen!$AB$3='Kampfresultat Tabelle'!$A$20,'Kampfresultat Tabelle'!R$20,R26)</f>
        <v>-9</v>
      </c>
      <c r="S35" s="6">
        <f>IF(Charakterbogen!$AB$3='Kampfresultat Tabelle'!$A$20,'Kampfresultat Tabelle'!S$20,S26)</f>
        <v>-9</v>
      </c>
      <c r="T35" s="6">
        <f>IF(Charakterbogen!$AB$3='Kampfresultat Tabelle'!$A$20,'Kampfresultat Tabelle'!T$20,T26)</f>
        <v>-10</v>
      </c>
      <c r="U35" s="6">
        <f>IF(Charakterbogen!$AB$3='Kampfresultat Tabelle'!$A$20,'Kampfresultat Tabelle'!U$20,U26)</f>
        <v>-10</v>
      </c>
      <c r="V35" s="6">
        <f>IF(Charakterbogen!$AB$3='Kampfresultat Tabelle'!$A$20,'Kampfresultat Tabelle'!V$20,V26)</f>
        <v>-11</v>
      </c>
      <c r="W35" s="6">
        <f>IF(Charakterbogen!$AB$3='Kampfresultat Tabelle'!$A$20,'Kampfresultat Tabelle'!W$20,W26)</f>
        <v>-11</v>
      </c>
      <c r="X35" s="6">
        <f>IF(Charakterbogen!$AB$3='Kampfresultat Tabelle'!$A$20,'Kampfresultat Tabelle'!X$20,X26)</f>
        <v>-12</v>
      </c>
      <c r="Y35" s="6">
        <f>IF(Charakterbogen!$AB$3='Kampfresultat Tabelle'!$A$20,'Kampfresultat Tabelle'!Y$20,Y26)</f>
        <v>-12</v>
      </c>
      <c r="Z35" s="33">
        <f>IF(Charakterbogen!$AB$3='Kampfresultat Tabelle'!$A$20,'Kampfresultat Tabelle'!Z$20,Z26)</f>
        <v>-14</v>
      </c>
    </row>
    <row r="36" spans="2:26" ht="12.75">
      <c r="B36" s="55" t="s">
        <v>25</v>
      </c>
      <c r="C36" s="3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9"/>
    </row>
    <row r="37" spans="2:26" ht="12.75">
      <c r="B37" s="34">
        <v>1</v>
      </c>
      <c r="C37" s="6">
        <f>IF(Charakterbogen!$AB$3='Kampfresultat Tabelle'!$A$2,'Kampfresultat Tabelle'!C$3,'Kampfresultat Tabelle'!C38)</f>
        <v>-7</v>
      </c>
      <c r="D37" s="6">
        <f>IF(Charakterbogen!$AB$3='Kampfresultat Tabelle'!$A$2,'Kampfresultat Tabelle'!D$3,'Kampfresultat Tabelle'!D38)</f>
        <v>-6</v>
      </c>
      <c r="E37" s="6">
        <f>IF(Charakterbogen!$AB$3='Kampfresultat Tabelle'!$A$2,'Kampfresultat Tabelle'!E$3,'Kampfresultat Tabelle'!E38)</f>
        <v>-6</v>
      </c>
      <c r="F37" s="6">
        <f>IF(Charakterbogen!$AB$3='Kampfresultat Tabelle'!$A$2,'Kampfresultat Tabelle'!F$3,'Kampfresultat Tabelle'!F38)</f>
        <v>-5</v>
      </c>
      <c r="G37" s="6">
        <f>IF(Charakterbogen!$AB$3='Kampfresultat Tabelle'!$A$2,'Kampfresultat Tabelle'!G$3,'Kampfresultat Tabelle'!G38)</f>
        <v>-5</v>
      </c>
      <c r="H37" s="6">
        <f>IF(Charakterbogen!$AB$3='Kampfresultat Tabelle'!$A$2,'Kampfresultat Tabelle'!H$3,'Kampfresultat Tabelle'!H38)</f>
        <v>-4</v>
      </c>
      <c r="I37" s="6">
        <f>IF(Charakterbogen!$AB$3='Kampfresultat Tabelle'!$A$2,'Kampfresultat Tabelle'!I$3,'Kampfresultat Tabelle'!I38)</f>
        <v>-4</v>
      </c>
      <c r="J37" s="6">
        <f>IF(Charakterbogen!$AB$3='Kampfresultat Tabelle'!$A$2,'Kampfresultat Tabelle'!J$3,'Kampfresultat Tabelle'!J38)</f>
        <v>-4</v>
      </c>
      <c r="K37" s="6">
        <f>IF(Charakterbogen!$AB$3='Kampfresultat Tabelle'!$A$2,'Kampfresultat Tabelle'!K$3,'Kampfresultat Tabelle'!K38)</f>
        <v>-4</v>
      </c>
      <c r="L37" s="6">
        <f>IF(Charakterbogen!$AB$3='Kampfresultat Tabelle'!$A$2,'Kampfresultat Tabelle'!L$3,'Kampfresultat Tabelle'!L38)</f>
        <v>-3</v>
      </c>
      <c r="M37" s="6">
        <f>IF(Charakterbogen!$AB$3='Kampfresultat Tabelle'!$A$2,'Kampfresultat Tabelle'!M$3,'Kampfresultat Tabelle'!M38)</f>
        <v>-3</v>
      </c>
      <c r="N37" s="6">
        <f>IF(Charakterbogen!$AB$3='Kampfresultat Tabelle'!$A$2,'Kampfresultat Tabelle'!N$3,'Kampfresultat Tabelle'!N38)</f>
        <v>-2</v>
      </c>
      <c r="O37" s="6">
        <f>IF(Charakterbogen!$AB$3='Kampfresultat Tabelle'!$A$2,'Kampfresultat Tabelle'!O$3,'Kampfresultat Tabelle'!O38)</f>
        <v>-2</v>
      </c>
      <c r="P37" s="6">
        <f>IF(Charakterbogen!$AB$3='Kampfresultat Tabelle'!$A$2,'Kampfresultat Tabelle'!P$3,'Kampfresultat Tabelle'!P38)</f>
        <v>-2</v>
      </c>
      <c r="Q37" s="6">
        <f>IF(Charakterbogen!$AB$3='Kampfresultat Tabelle'!$A$2,'Kampfresultat Tabelle'!Q$3,'Kampfresultat Tabelle'!Q38)</f>
        <v>-2</v>
      </c>
      <c r="R37" s="6">
        <f>IF(Charakterbogen!$AB$3='Kampfresultat Tabelle'!$A$2,'Kampfresultat Tabelle'!R$3,'Kampfresultat Tabelle'!R38)</f>
        <v>-2</v>
      </c>
      <c r="S37" s="6">
        <f>IF(Charakterbogen!$AB$3='Kampfresultat Tabelle'!$A$2,'Kampfresultat Tabelle'!S$3,'Kampfresultat Tabelle'!S38)</f>
        <v>-2</v>
      </c>
      <c r="T37" s="6">
        <f>IF(Charakterbogen!$AB$3='Kampfresultat Tabelle'!$A$2,'Kampfresultat Tabelle'!T$3,'Kampfresultat Tabelle'!T38)</f>
        <v>-2</v>
      </c>
      <c r="U37" s="6">
        <f>IF(Charakterbogen!$AB$3='Kampfresultat Tabelle'!$A$2,'Kampfresultat Tabelle'!U$3,'Kampfresultat Tabelle'!U38)</f>
        <v>-2</v>
      </c>
      <c r="V37" s="6">
        <f>IF(Charakterbogen!$AB$3='Kampfresultat Tabelle'!$A$2,'Kampfresultat Tabelle'!V$3,'Kampfresultat Tabelle'!V38)</f>
        <v>-2</v>
      </c>
      <c r="W37" s="6">
        <f>IF(Charakterbogen!$AB$3='Kampfresultat Tabelle'!$A$2,'Kampfresultat Tabelle'!W$3,'Kampfresultat Tabelle'!W38)</f>
        <v>-2</v>
      </c>
      <c r="X37" s="6">
        <f>IF(Charakterbogen!$AB$3='Kampfresultat Tabelle'!$A$2,'Kampfresultat Tabelle'!X$3,'Kampfresultat Tabelle'!X38)</f>
        <v>-2</v>
      </c>
      <c r="Y37" s="6">
        <f>IF(Charakterbogen!$AB$3='Kampfresultat Tabelle'!$A$2,'Kampfresultat Tabelle'!Y$3,'Kampfresultat Tabelle'!Y38)</f>
        <v>-2</v>
      </c>
      <c r="Z37" s="33">
        <f>IF(Charakterbogen!$AB$3='Kampfresultat Tabelle'!$A$2,'Kampfresultat Tabelle'!Z$3,'Kampfresultat Tabelle'!Z38)</f>
        <v>-1</v>
      </c>
    </row>
    <row r="38" spans="2:26" ht="12.75">
      <c r="B38" s="34">
        <v>2</v>
      </c>
      <c r="C38" s="6">
        <f>IF(Charakterbogen!$AB$3='Kampfresultat Tabelle'!$A$4,'Kampfresultat Tabelle'!C$5,'Kampfresultat Tabelle'!C39)</f>
        <v>-7</v>
      </c>
      <c r="D38" s="6">
        <f>IF(Charakterbogen!$AB$3='Kampfresultat Tabelle'!$A$4,'Kampfresultat Tabelle'!D$5,'Kampfresultat Tabelle'!D39)</f>
        <v>-6</v>
      </c>
      <c r="E38" s="6">
        <f>IF(Charakterbogen!$AB$3='Kampfresultat Tabelle'!$A$4,'Kampfresultat Tabelle'!E$5,'Kampfresultat Tabelle'!E39)</f>
        <v>-6</v>
      </c>
      <c r="F38" s="6">
        <f>IF(Charakterbogen!$AB$3='Kampfresultat Tabelle'!$A$4,'Kampfresultat Tabelle'!F$5,'Kampfresultat Tabelle'!F39)</f>
        <v>-5</v>
      </c>
      <c r="G38" s="6">
        <f>IF(Charakterbogen!$AB$3='Kampfresultat Tabelle'!$A$4,'Kampfresultat Tabelle'!G$5,'Kampfresultat Tabelle'!G39)</f>
        <v>-5</v>
      </c>
      <c r="H38" s="6">
        <f>IF(Charakterbogen!$AB$3='Kampfresultat Tabelle'!$A$4,'Kampfresultat Tabelle'!H$5,'Kampfresultat Tabelle'!H39)</f>
        <v>-4</v>
      </c>
      <c r="I38" s="6">
        <f>IF(Charakterbogen!$AB$3='Kampfresultat Tabelle'!$A$4,'Kampfresultat Tabelle'!I$5,'Kampfresultat Tabelle'!I39)</f>
        <v>-4</v>
      </c>
      <c r="J38" s="6">
        <f>IF(Charakterbogen!$AB$3='Kampfresultat Tabelle'!$A$4,'Kampfresultat Tabelle'!J$5,'Kampfresultat Tabelle'!J39)</f>
        <v>-4</v>
      </c>
      <c r="K38" s="6">
        <f>IF(Charakterbogen!$AB$3='Kampfresultat Tabelle'!$A$4,'Kampfresultat Tabelle'!K$5,'Kampfresultat Tabelle'!K39)</f>
        <v>-4</v>
      </c>
      <c r="L38" s="6">
        <f>IF(Charakterbogen!$AB$3='Kampfresultat Tabelle'!$A$4,'Kampfresultat Tabelle'!L$5,'Kampfresultat Tabelle'!L39)</f>
        <v>-3</v>
      </c>
      <c r="M38" s="6">
        <f>IF(Charakterbogen!$AB$3='Kampfresultat Tabelle'!$A$4,'Kampfresultat Tabelle'!M$5,'Kampfresultat Tabelle'!M39)</f>
        <v>-3</v>
      </c>
      <c r="N38" s="6">
        <f>IF(Charakterbogen!$AB$3='Kampfresultat Tabelle'!$A$4,'Kampfresultat Tabelle'!N$5,'Kampfresultat Tabelle'!N39)</f>
        <v>-2</v>
      </c>
      <c r="O38" s="6">
        <f>IF(Charakterbogen!$AB$3='Kampfresultat Tabelle'!$A$4,'Kampfresultat Tabelle'!O$5,'Kampfresultat Tabelle'!O39)</f>
        <v>-2</v>
      </c>
      <c r="P38" s="6">
        <f>IF(Charakterbogen!$AB$3='Kampfresultat Tabelle'!$A$4,'Kampfresultat Tabelle'!P$5,'Kampfresultat Tabelle'!P39)</f>
        <v>-2</v>
      </c>
      <c r="Q38" s="6">
        <f>IF(Charakterbogen!$AB$3='Kampfresultat Tabelle'!$A$4,'Kampfresultat Tabelle'!Q$5,'Kampfresultat Tabelle'!Q39)</f>
        <v>-2</v>
      </c>
      <c r="R38" s="6">
        <f>IF(Charakterbogen!$AB$3='Kampfresultat Tabelle'!$A$4,'Kampfresultat Tabelle'!R$5,'Kampfresultat Tabelle'!R39)</f>
        <v>-2</v>
      </c>
      <c r="S38" s="6">
        <f>IF(Charakterbogen!$AB$3='Kampfresultat Tabelle'!$A$4,'Kampfresultat Tabelle'!S$5,'Kampfresultat Tabelle'!S39)</f>
        <v>-2</v>
      </c>
      <c r="T38" s="6">
        <f>IF(Charakterbogen!$AB$3='Kampfresultat Tabelle'!$A$4,'Kampfresultat Tabelle'!T$5,'Kampfresultat Tabelle'!T39)</f>
        <v>-2</v>
      </c>
      <c r="U38" s="6">
        <f>IF(Charakterbogen!$AB$3='Kampfresultat Tabelle'!$A$4,'Kampfresultat Tabelle'!U$5,'Kampfresultat Tabelle'!U39)</f>
        <v>-2</v>
      </c>
      <c r="V38" s="6">
        <f>IF(Charakterbogen!$AB$3='Kampfresultat Tabelle'!$A$4,'Kampfresultat Tabelle'!V$5,'Kampfresultat Tabelle'!V39)</f>
        <v>-2</v>
      </c>
      <c r="W38" s="6">
        <f>IF(Charakterbogen!$AB$3='Kampfresultat Tabelle'!$A$4,'Kampfresultat Tabelle'!W$5,'Kampfresultat Tabelle'!W39)</f>
        <v>-2</v>
      </c>
      <c r="X38" s="6">
        <f>IF(Charakterbogen!$AB$3='Kampfresultat Tabelle'!$A$4,'Kampfresultat Tabelle'!X$5,'Kampfresultat Tabelle'!X39)</f>
        <v>-2</v>
      </c>
      <c r="Y38" s="6">
        <f>IF(Charakterbogen!$AB$3='Kampfresultat Tabelle'!$A$4,'Kampfresultat Tabelle'!Y$5,'Kampfresultat Tabelle'!Y39)</f>
        <v>-2</v>
      </c>
      <c r="Z38" s="33">
        <f>IF(Charakterbogen!$AB$3='Kampfresultat Tabelle'!$A$4,'Kampfresultat Tabelle'!Z$5,'Kampfresultat Tabelle'!Z39)</f>
        <v>-1</v>
      </c>
    </row>
    <row r="39" spans="2:26" ht="12.75">
      <c r="B39" s="34">
        <v>3</v>
      </c>
      <c r="C39" s="6">
        <f>IF(Charakterbogen!$AB$3='Kampfresultat Tabelle'!$A$6,'Kampfresultat Tabelle'!C$7,'Kampfresultat Tabelle'!C40)</f>
        <v>-7</v>
      </c>
      <c r="D39" s="6">
        <f>IF(Charakterbogen!$AB$3='Kampfresultat Tabelle'!$A$6,'Kampfresultat Tabelle'!D$7,'Kampfresultat Tabelle'!D40)</f>
        <v>-6</v>
      </c>
      <c r="E39" s="6">
        <f>IF(Charakterbogen!$AB$3='Kampfresultat Tabelle'!$A$6,'Kampfresultat Tabelle'!E$7,'Kampfresultat Tabelle'!E40)</f>
        <v>-6</v>
      </c>
      <c r="F39" s="6">
        <f>IF(Charakterbogen!$AB$3='Kampfresultat Tabelle'!$A$6,'Kampfresultat Tabelle'!F$7,'Kampfresultat Tabelle'!F40)</f>
        <v>-5</v>
      </c>
      <c r="G39" s="6">
        <f>IF(Charakterbogen!$AB$3='Kampfresultat Tabelle'!$A$6,'Kampfresultat Tabelle'!G$7,'Kampfresultat Tabelle'!G40)</f>
        <v>-5</v>
      </c>
      <c r="H39" s="6">
        <f>IF(Charakterbogen!$AB$3='Kampfresultat Tabelle'!$A$6,'Kampfresultat Tabelle'!H$7,'Kampfresultat Tabelle'!H40)</f>
        <v>-4</v>
      </c>
      <c r="I39" s="6">
        <f>IF(Charakterbogen!$AB$3='Kampfresultat Tabelle'!$A$6,'Kampfresultat Tabelle'!I$7,'Kampfresultat Tabelle'!I40)</f>
        <v>-4</v>
      </c>
      <c r="J39" s="6">
        <f>IF(Charakterbogen!$AB$3='Kampfresultat Tabelle'!$A$6,'Kampfresultat Tabelle'!J$7,'Kampfresultat Tabelle'!J40)</f>
        <v>-4</v>
      </c>
      <c r="K39" s="6">
        <f>IF(Charakterbogen!$AB$3='Kampfresultat Tabelle'!$A$6,'Kampfresultat Tabelle'!K$7,'Kampfresultat Tabelle'!K40)</f>
        <v>-4</v>
      </c>
      <c r="L39" s="6">
        <f>IF(Charakterbogen!$AB$3='Kampfresultat Tabelle'!$A$6,'Kampfresultat Tabelle'!L$7,'Kampfresultat Tabelle'!L40)</f>
        <v>-3</v>
      </c>
      <c r="M39" s="6">
        <f>IF(Charakterbogen!$AB$3='Kampfresultat Tabelle'!$A$6,'Kampfresultat Tabelle'!M$7,'Kampfresultat Tabelle'!M40)</f>
        <v>-3</v>
      </c>
      <c r="N39" s="6">
        <f>IF(Charakterbogen!$AB$3='Kampfresultat Tabelle'!$A$6,'Kampfresultat Tabelle'!N$7,'Kampfresultat Tabelle'!N40)</f>
        <v>-2</v>
      </c>
      <c r="O39" s="6">
        <f>IF(Charakterbogen!$AB$3='Kampfresultat Tabelle'!$A$6,'Kampfresultat Tabelle'!O$7,'Kampfresultat Tabelle'!O40)</f>
        <v>-2</v>
      </c>
      <c r="P39" s="6">
        <f>IF(Charakterbogen!$AB$3='Kampfresultat Tabelle'!$A$6,'Kampfresultat Tabelle'!P$7,'Kampfresultat Tabelle'!P40)</f>
        <v>-2</v>
      </c>
      <c r="Q39" s="6">
        <f>IF(Charakterbogen!$AB$3='Kampfresultat Tabelle'!$A$6,'Kampfresultat Tabelle'!Q$7,'Kampfresultat Tabelle'!Q40)</f>
        <v>-2</v>
      </c>
      <c r="R39" s="6">
        <f>IF(Charakterbogen!$AB$3='Kampfresultat Tabelle'!$A$6,'Kampfresultat Tabelle'!R$7,'Kampfresultat Tabelle'!R40)</f>
        <v>-2</v>
      </c>
      <c r="S39" s="6">
        <f>IF(Charakterbogen!$AB$3='Kampfresultat Tabelle'!$A$6,'Kampfresultat Tabelle'!S$7,'Kampfresultat Tabelle'!S40)</f>
        <v>-2</v>
      </c>
      <c r="T39" s="6">
        <f>IF(Charakterbogen!$AB$3='Kampfresultat Tabelle'!$A$6,'Kampfresultat Tabelle'!T$7,'Kampfresultat Tabelle'!T40)</f>
        <v>-2</v>
      </c>
      <c r="U39" s="6">
        <f>IF(Charakterbogen!$AB$3='Kampfresultat Tabelle'!$A$6,'Kampfresultat Tabelle'!U$7,'Kampfresultat Tabelle'!U40)</f>
        <v>-2</v>
      </c>
      <c r="V39" s="6">
        <f>IF(Charakterbogen!$AB$3='Kampfresultat Tabelle'!$A$6,'Kampfresultat Tabelle'!V$7,'Kampfresultat Tabelle'!V40)</f>
        <v>-2</v>
      </c>
      <c r="W39" s="6">
        <f>IF(Charakterbogen!$AB$3='Kampfresultat Tabelle'!$A$6,'Kampfresultat Tabelle'!W$7,'Kampfresultat Tabelle'!W40)</f>
        <v>-2</v>
      </c>
      <c r="X39" s="6">
        <f>IF(Charakterbogen!$AB$3='Kampfresultat Tabelle'!$A$6,'Kampfresultat Tabelle'!X$7,'Kampfresultat Tabelle'!X40)</f>
        <v>-2</v>
      </c>
      <c r="Y39" s="6">
        <f>IF(Charakterbogen!$AB$3='Kampfresultat Tabelle'!$A$6,'Kampfresultat Tabelle'!Y$7,'Kampfresultat Tabelle'!Y40)</f>
        <v>-2</v>
      </c>
      <c r="Z39" s="33">
        <f>IF(Charakterbogen!$AB$3='Kampfresultat Tabelle'!$A$6,'Kampfresultat Tabelle'!Z$7,'Kampfresultat Tabelle'!Z40)</f>
        <v>-1</v>
      </c>
    </row>
    <row r="40" spans="2:26" ht="12.75">
      <c r="B40" s="34">
        <v>4</v>
      </c>
      <c r="C40" s="6">
        <f>IF(Charakterbogen!$AB$3='Kampfresultat Tabelle'!$A$8,'Kampfresultat Tabelle'!C$9,'Kampfresultat Tabelle'!C41)</f>
        <v>-7</v>
      </c>
      <c r="D40" s="6">
        <f>IF(Charakterbogen!$AB$3='Kampfresultat Tabelle'!$A$8,'Kampfresultat Tabelle'!D$9,'Kampfresultat Tabelle'!D41)</f>
        <v>-6</v>
      </c>
      <c r="E40" s="6">
        <f>IF(Charakterbogen!$AB$3='Kampfresultat Tabelle'!$A$8,'Kampfresultat Tabelle'!E$9,'Kampfresultat Tabelle'!E41)</f>
        <v>-6</v>
      </c>
      <c r="F40" s="6">
        <f>IF(Charakterbogen!$AB$3='Kampfresultat Tabelle'!$A$8,'Kampfresultat Tabelle'!F$9,'Kampfresultat Tabelle'!F41)</f>
        <v>-5</v>
      </c>
      <c r="G40" s="6">
        <f>IF(Charakterbogen!$AB$3='Kampfresultat Tabelle'!$A$8,'Kampfresultat Tabelle'!G$9,'Kampfresultat Tabelle'!G41)</f>
        <v>-5</v>
      </c>
      <c r="H40" s="6">
        <f>IF(Charakterbogen!$AB$3='Kampfresultat Tabelle'!$A$8,'Kampfresultat Tabelle'!H$9,'Kampfresultat Tabelle'!H41)</f>
        <v>-4</v>
      </c>
      <c r="I40" s="6">
        <f>IF(Charakterbogen!$AB$3='Kampfresultat Tabelle'!$A$8,'Kampfresultat Tabelle'!I$9,'Kampfresultat Tabelle'!I41)</f>
        <v>-4</v>
      </c>
      <c r="J40" s="6">
        <f>IF(Charakterbogen!$AB$3='Kampfresultat Tabelle'!$A$8,'Kampfresultat Tabelle'!J$9,'Kampfresultat Tabelle'!J41)</f>
        <v>-4</v>
      </c>
      <c r="K40" s="6">
        <f>IF(Charakterbogen!$AB$3='Kampfresultat Tabelle'!$A$8,'Kampfresultat Tabelle'!K$9,'Kampfresultat Tabelle'!K41)</f>
        <v>-4</v>
      </c>
      <c r="L40" s="6">
        <f>IF(Charakterbogen!$AB$3='Kampfresultat Tabelle'!$A$8,'Kampfresultat Tabelle'!L$9,'Kampfresultat Tabelle'!L41)</f>
        <v>-3</v>
      </c>
      <c r="M40" s="6">
        <f>IF(Charakterbogen!$AB$3='Kampfresultat Tabelle'!$A$8,'Kampfresultat Tabelle'!M$9,'Kampfresultat Tabelle'!M41)</f>
        <v>-3</v>
      </c>
      <c r="N40" s="6">
        <f>IF(Charakterbogen!$AB$3='Kampfresultat Tabelle'!$A$8,'Kampfresultat Tabelle'!N$9,'Kampfresultat Tabelle'!N41)</f>
        <v>-2</v>
      </c>
      <c r="O40" s="6">
        <f>IF(Charakterbogen!$AB$3='Kampfresultat Tabelle'!$A$8,'Kampfresultat Tabelle'!O$9,'Kampfresultat Tabelle'!O41)</f>
        <v>-2</v>
      </c>
      <c r="P40" s="6">
        <f>IF(Charakterbogen!$AB$3='Kampfresultat Tabelle'!$A$8,'Kampfresultat Tabelle'!P$9,'Kampfresultat Tabelle'!P41)</f>
        <v>-2</v>
      </c>
      <c r="Q40" s="6">
        <f>IF(Charakterbogen!$AB$3='Kampfresultat Tabelle'!$A$8,'Kampfresultat Tabelle'!Q$9,'Kampfresultat Tabelle'!Q41)</f>
        <v>-2</v>
      </c>
      <c r="R40" s="6">
        <f>IF(Charakterbogen!$AB$3='Kampfresultat Tabelle'!$A$8,'Kampfresultat Tabelle'!R$9,'Kampfresultat Tabelle'!R41)</f>
        <v>-2</v>
      </c>
      <c r="S40" s="6">
        <f>IF(Charakterbogen!$AB$3='Kampfresultat Tabelle'!$A$8,'Kampfresultat Tabelle'!S$9,'Kampfresultat Tabelle'!S41)</f>
        <v>-2</v>
      </c>
      <c r="T40" s="6">
        <f>IF(Charakterbogen!$AB$3='Kampfresultat Tabelle'!$A$8,'Kampfresultat Tabelle'!T$9,'Kampfresultat Tabelle'!T41)</f>
        <v>-2</v>
      </c>
      <c r="U40" s="6">
        <f>IF(Charakterbogen!$AB$3='Kampfresultat Tabelle'!$A$8,'Kampfresultat Tabelle'!U$9,'Kampfresultat Tabelle'!U41)</f>
        <v>-2</v>
      </c>
      <c r="V40" s="6">
        <f>IF(Charakterbogen!$AB$3='Kampfresultat Tabelle'!$A$8,'Kampfresultat Tabelle'!V$9,'Kampfresultat Tabelle'!V41)</f>
        <v>-2</v>
      </c>
      <c r="W40" s="6">
        <f>IF(Charakterbogen!$AB$3='Kampfresultat Tabelle'!$A$8,'Kampfresultat Tabelle'!W$9,'Kampfresultat Tabelle'!W41)</f>
        <v>-2</v>
      </c>
      <c r="X40" s="6">
        <f>IF(Charakterbogen!$AB$3='Kampfresultat Tabelle'!$A$8,'Kampfresultat Tabelle'!X$9,'Kampfresultat Tabelle'!X41)</f>
        <v>-2</v>
      </c>
      <c r="Y40" s="6">
        <f>IF(Charakterbogen!$AB$3='Kampfresultat Tabelle'!$A$8,'Kampfresultat Tabelle'!Y$9,'Kampfresultat Tabelle'!Y41)</f>
        <v>-2</v>
      </c>
      <c r="Z40" s="33">
        <f>IF(Charakterbogen!$AB$3='Kampfresultat Tabelle'!$A$8,'Kampfresultat Tabelle'!Z$9,'Kampfresultat Tabelle'!Z41)</f>
        <v>-1</v>
      </c>
    </row>
    <row r="41" spans="2:26" ht="12.75">
      <c r="B41" s="34">
        <v>5</v>
      </c>
      <c r="C41" s="6">
        <f>IF(Charakterbogen!$AB$3='Kampfresultat Tabelle'!$A$10,'Kampfresultat Tabelle'!C$11,'Kampfresultat Tabelle'!C42)</f>
        <v>-7</v>
      </c>
      <c r="D41" s="6">
        <f>IF(Charakterbogen!$AB$3='Kampfresultat Tabelle'!$A$10,'Kampfresultat Tabelle'!D$11,'Kampfresultat Tabelle'!D42)</f>
        <v>-6</v>
      </c>
      <c r="E41" s="6">
        <f>IF(Charakterbogen!$AB$3='Kampfresultat Tabelle'!$A$10,'Kampfresultat Tabelle'!E$11,'Kampfresultat Tabelle'!E42)</f>
        <v>-6</v>
      </c>
      <c r="F41" s="6">
        <f>IF(Charakterbogen!$AB$3='Kampfresultat Tabelle'!$A$10,'Kampfresultat Tabelle'!F$11,'Kampfresultat Tabelle'!F42)</f>
        <v>-5</v>
      </c>
      <c r="G41" s="6">
        <f>IF(Charakterbogen!$AB$3='Kampfresultat Tabelle'!$A$10,'Kampfresultat Tabelle'!G$11,'Kampfresultat Tabelle'!G42)</f>
        <v>-5</v>
      </c>
      <c r="H41" s="6">
        <f>IF(Charakterbogen!$AB$3='Kampfresultat Tabelle'!$A$10,'Kampfresultat Tabelle'!H$11,'Kampfresultat Tabelle'!H42)</f>
        <v>-4</v>
      </c>
      <c r="I41" s="6">
        <f>IF(Charakterbogen!$AB$3='Kampfresultat Tabelle'!$A$10,'Kampfresultat Tabelle'!I$11,'Kampfresultat Tabelle'!I42)</f>
        <v>-4</v>
      </c>
      <c r="J41" s="6">
        <f>IF(Charakterbogen!$AB$3='Kampfresultat Tabelle'!$A$10,'Kampfresultat Tabelle'!J$11,'Kampfresultat Tabelle'!J42)</f>
        <v>-4</v>
      </c>
      <c r="K41" s="6">
        <f>IF(Charakterbogen!$AB$3='Kampfresultat Tabelle'!$A$10,'Kampfresultat Tabelle'!K$11,'Kampfresultat Tabelle'!K42)</f>
        <v>-4</v>
      </c>
      <c r="L41" s="6">
        <f>IF(Charakterbogen!$AB$3='Kampfresultat Tabelle'!$A$10,'Kampfresultat Tabelle'!L$11,'Kampfresultat Tabelle'!L42)</f>
        <v>-3</v>
      </c>
      <c r="M41" s="6">
        <f>IF(Charakterbogen!$AB$3='Kampfresultat Tabelle'!$A$10,'Kampfresultat Tabelle'!M$11,'Kampfresultat Tabelle'!M42)</f>
        <v>-3</v>
      </c>
      <c r="N41" s="6">
        <f>IF(Charakterbogen!$AB$3='Kampfresultat Tabelle'!$A$10,'Kampfresultat Tabelle'!N$11,'Kampfresultat Tabelle'!N42)</f>
        <v>-2</v>
      </c>
      <c r="O41" s="6">
        <f>IF(Charakterbogen!$AB$3='Kampfresultat Tabelle'!$A$10,'Kampfresultat Tabelle'!O$11,'Kampfresultat Tabelle'!O42)</f>
        <v>-2</v>
      </c>
      <c r="P41" s="6">
        <f>IF(Charakterbogen!$AB$3='Kampfresultat Tabelle'!$A$10,'Kampfresultat Tabelle'!P$11,'Kampfresultat Tabelle'!P42)</f>
        <v>-2</v>
      </c>
      <c r="Q41" s="6">
        <f>IF(Charakterbogen!$AB$3='Kampfresultat Tabelle'!$A$10,'Kampfresultat Tabelle'!Q$11,'Kampfresultat Tabelle'!Q42)</f>
        <v>-2</v>
      </c>
      <c r="R41" s="6">
        <f>IF(Charakterbogen!$AB$3='Kampfresultat Tabelle'!$A$10,'Kampfresultat Tabelle'!R$11,'Kampfresultat Tabelle'!R42)</f>
        <v>-2</v>
      </c>
      <c r="S41" s="6">
        <f>IF(Charakterbogen!$AB$3='Kampfresultat Tabelle'!$A$10,'Kampfresultat Tabelle'!S$11,'Kampfresultat Tabelle'!S42)</f>
        <v>-2</v>
      </c>
      <c r="T41" s="6">
        <f>IF(Charakterbogen!$AB$3='Kampfresultat Tabelle'!$A$10,'Kampfresultat Tabelle'!T$11,'Kampfresultat Tabelle'!T42)</f>
        <v>-2</v>
      </c>
      <c r="U41" s="6">
        <f>IF(Charakterbogen!$AB$3='Kampfresultat Tabelle'!$A$10,'Kampfresultat Tabelle'!U$11,'Kampfresultat Tabelle'!U42)</f>
        <v>-2</v>
      </c>
      <c r="V41" s="6">
        <f>IF(Charakterbogen!$AB$3='Kampfresultat Tabelle'!$A$10,'Kampfresultat Tabelle'!V$11,'Kampfresultat Tabelle'!V42)</f>
        <v>-2</v>
      </c>
      <c r="W41" s="6">
        <f>IF(Charakterbogen!$AB$3='Kampfresultat Tabelle'!$A$10,'Kampfresultat Tabelle'!W$11,'Kampfresultat Tabelle'!W42)</f>
        <v>-2</v>
      </c>
      <c r="X41" s="6">
        <f>IF(Charakterbogen!$AB$3='Kampfresultat Tabelle'!$A$10,'Kampfresultat Tabelle'!X$11,'Kampfresultat Tabelle'!X42)</f>
        <v>-2</v>
      </c>
      <c r="Y41" s="6">
        <f>IF(Charakterbogen!$AB$3='Kampfresultat Tabelle'!$A$10,'Kampfresultat Tabelle'!Y$11,'Kampfresultat Tabelle'!Y42)</f>
        <v>-2</v>
      </c>
      <c r="Z41" s="33">
        <f>IF(Charakterbogen!$AB$3='Kampfresultat Tabelle'!$A$10,'Kampfresultat Tabelle'!Z$11,'Kampfresultat Tabelle'!Z42)</f>
        <v>-1</v>
      </c>
    </row>
    <row r="42" spans="2:26" ht="12.75">
      <c r="B42" s="34">
        <v>6</v>
      </c>
      <c r="C42" s="6">
        <f>IF(Charakterbogen!$AB$3='Kampfresultat Tabelle'!$A$12,'Kampfresultat Tabelle'!C$13,'Kampfresultat Tabelle'!C43)</f>
        <v>-7</v>
      </c>
      <c r="D42" s="6">
        <f>IF(Charakterbogen!$AB$3='Kampfresultat Tabelle'!$A$12,'Kampfresultat Tabelle'!D$13,'Kampfresultat Tabelle'!D43)</f>
        <v>-6</v>
      </c>
      <c r="E42" s="6">
        <f>IF(Charakterbogen!$AB$3='Kampfresultat Tabelle'!$A$12,'Kampfresultat Tabelle'!E$13,'Kampfresultat Tabelle'!E43)</f>
        <v>-6</v>
      </c>
      <c r="F42" s="6">
        <f>IF(Charakterbogen!$AB$3='Kampfresultat Tabelle'!$A$12,'Kampfresultat Tabelle'!F$13,'Kampfresultat Tabelle'!F43)</f>
        <v>-5</v>
      </c>
      <c r="G42" s="6">
        <f>IF(Charakterbogen!$AB$3='Kampfresultat Tabelle'!$A$12,'Kampfresultat Tabelle'!G$13,'Kampfresultat Tabelle'!G43)</f>
        <v>-5</v>
      </c>
      <c r="H42" s="6">
        <f>IF(Charakterbogen!$AB$3='Kampfresultat Tabelle'!$A$12,'Kampfresultat Tabelle'!H$13,'Kampfresultat Tabelle'!H43)</f>
        <v>-4</v>
      </c>
      <c r="I42" s="6">
        <f>IF(Charakterbogen!$AB$3='Kampfresultat Tabelle'!$A$12,'Kampfresultat Tabelle'!I$13,'Kampfresultat Tabelle'!I43)</f>
        <v>-4</v>
      </c>
      <c r="J42" s="6">
        <f>IF(Charakterbogen!$AB$3='Kampfresultat Tabelle'!$A$12,'Kampfresultat Tabelle'!J$13,'Kampfresultat Tabelle'!J43)</f>
        <v>-4</v>
      </c>
      <c r="K42" s="6">
        <f>IF(Charakterbogen!$AB$3='Kampfresultat Tabelle'!$A$12,'Kampfresultat Tabelle'!K$13,'Kampfresultat Tabelle'!K43)</f>
        <v>-4</v>
      </c>
      <c r="L42" s="6">
        <f>IF(Charakterbogen!$AB$3='Kampfresultat Tabelle'!$A$12,'Kampfresultat Tabelle'!L$13,'Kampfresultat Tabelle'!L43)</f>
        <v>-3</v>
      </c>
      <c r="M42" s="6">
        <f>IF(Charakterbogen!$AB$3='Kampfresultat Tabelle'!$A$12,'Kampfresultat Tabelle'!M$13,'Kampfresultat Tabelle'!M43)</f>
        <v>-3</v>
      </c>
      <c r="N42" s="6">
        <f>IF(Charakterbogen!$AB$3='Kampfresultat Tabelle'!$A$12,'Kampfresultat Tabelle'!N$13,'Kampfresultat Tabelle'!N43)</f>
        <v>-2</v>
      </c>
      <c r="O42" s="6">
        <f>IF(Charakterbogen!$AB$3='Kampfresultat Tabelle'!$A$12,'Kampfresultat Tabelle'!O$13,'Kampfresultat Tabelle'!O43)</f>
        <v>-2</v>
      </c>
      <c r="P42" s="6">
        <f>IF(Charakterbogen!$AB$3='Kampfresultat Tabelle'!$A$12,'Kampfresultat Tabelle'!P$13,'Kampfresultat Tabelle'!P43)</f>
        <v>-2</v>
      </c>
      <c r="Q42" s="6">
        <f>IF(Charakterbogen!$AB$3='Kampfresultat Tabelle'!$A$12,'Kampfresultat Tabelle'!Q$13,'Kampfresultat Tabelle'!Q43)</f>
        <v>-2</v>
      </c>
      <c r="R42" s="6">
        <f>IF(Charakterbogen!$AB$3='Kampfresultat Tabelle'!$A$12,'Kampfresultat Tabelle'!R$13,'Kampfresultat Tabelle'!R43)</f>
        <v>-2</v>
      </c>
      <c r="S42" s="6">
        <f>IF(Charakterbogen!$AB$3='Kampfresultat Tabelle'!$A$12,'Kampfresultat Tabelle'!S$13,'Kampfresultat Tabelle'!S43)</f>
        <v>-2</v>
      </c>
      <c r="T42" s="6">
        <f>IF(Charakterbogen!$AB$3='Kampfresultat Tabelle'!$A$12,'Kampfresultat Tabelle'!T$13,'Kampfresultat Tabelle'!T43)</f>
        <v>-2</v>
      </c>
      <c r="U42" s="6">
        <f>IF(Charakterbogen!$AB$3='Kampfresultat Tabelle'!$A$12,'Kampfresultat Tabelle'!U$13,'Kampfresultat Tabelle'!U43)</f>
        <v>-2</v>
      </c>
      <c r="V42" s="6">
        <f>IF(Charakterbogen!$AB$3='Kampfresultat Tabelle'!$A$12,'Kampfresultat Tabelle'!V$13,'Kampfresultat Tabelle'!V43)</f>
        <v>-2</v>
      </c>
      <c r="W42" s="6">
        <f>IF(Charakterbogen!$AB$3='Kampfresultat Tabelle'!$A$12,'Kampfresultat Tabelle'!W$13,'Kampfresultat Tabelle'!W43)</f>
        <v>-2</v>
      </c>
      <c r="X42" s="6">
        <f>IF(Charakterbogen!$AB$3='Kampfresultat Tabelle'!$A$12,'Kampfresultat Tabelle'!X$13,'Kampfresultat Tabelle'!X43)</f>
        <v>-2</v>
      </c>
      <c r="Y42" s="6">
        <f>IF(Charakterbogen!$AB$3='Kampfresultat Tabelle'!$A$12,'Kampfresultat Tabelle'!Y$13,'Kampfresultat Tabelle'!Y43)</f>
        <v>-2</v>
      </c>
      <c r="Z42" s="33">
        <f>IF(Charakterbogen!$AB$3='Kampfresultat Tabelle'!$A$12,'Kampfresultat Tabelle'!Z$13,'Kampfresultat Tabelle'!Z43)</f>
        <v>-1</v>
      </c>
    </row>
    <row r="43" spans="2:26" ht="12.75">
      <c r="B43" s="34">
        <v>7</v>
      </c>
      <c r="C43" s="6">
        <f>IF(Charakterbogen!$AB$3='Kampfresultat Tabelle'!$A$14,'Kampfresultat Tabelle'!C$15,'Kampfresultat Tabelle'!C44)</f>
        <v>-7</v>
      </c>
      <c r="D43" s="6">
        <f>IF(Charakterbogen!$AB$3='Kampfresultat Tabelle'!$A$14,'Kampfresultat Tabelle'!D$15,'Kampfresultat Tabelle'!D44)</f>
        <v>-6</v>
      </c>
      <c r="E43" s="6">
        <f>IF(Charakterbogen!$AB$3='Kampfresultat Tabelle'!$A$14,'Kampfresultat Tabelle'!E$15,'Kampfresultat Tabelle'!E44)</f>
        <v>-6</v>
      </c>
      <c r="F43" s="6">
        <f>IF(Charakterbogen!$AB$3='Kampfresultat Tabelle'!$A$14,'Kampfresultat Tabelle'!F$15,'Kampfresultat Tabelle'!F44)</f>
        <v>-5</v>
      </c>
      <c r="G43" s="6">
        <f>IF(Charakterbogen!$AB$3='Kampfresultat Tabelle'!$A$14,'Kampfresultat Tabelle'!G$15,'Kampfresultat Tabelle'!G44)</f>
        <v>-5</v>
      </c>
      <c r="H43" s="6">
        <f>IF(Charakterbogen!$AB$3='Kampfresultat Tabelle'!$A$14,'Kampfresultat Tabelle'!H$15,'Kampfresultat Tabelle'!H44)</f>
        <v>-4</v>
      </c>
      <c r="I43" s="6">
        <f>IF(Charakterbogen!$AB$3='Kampfresultat Tabelle'!$A$14,'Kampfresultat Tabelle'!I$15,'Kampfresultat Tabelle'!I44)</f>
        <v>-4</v>
      </c>
      <c r="J43" s="6">
        <f>IF(Charakterbogen!$AB$3='Kampfresultat Tabelle'!$A$14,'Kampfresultat Tabelle'!J$15,'Kampfresultat Tabelle'!J44)</f>
        <v>-4</v>
      </c>
      <c r="K43" s="6">
        <f>IF(Charakterbogen!$AB$3='Kampfresultat Tabelle'!$A$14,'Kampfresultat Tabelle'!K$15,'Kampfresultat Tabelle'!K44)</f>
        <v>-4</v>
      </c>
      <c r="L43" s="6">
        <f>IF(Charakterbogen!$AB$3='Kampfresultat Tabelle'!$A$14,'Kampfresultat Tabelle'!L$15,'Kampfresultat Tabelle'!L44)</f>
        <v>-3</v>
      </c>
      <c r="M43" s="6">
        <f>IF(Charakterbogen!$AB$3='Kampfresultat Tabelle'!$A$14,'Kampfresultat Tabelle'!M$15,'Kampfresultat Tabelle'!M44)</f>
        <v>-3</v>
      </c>
      <c r="N43" s="6">
        <f>IF(Charakterbogen!$AB$3='Kampfresultat Tabelle'!$A$14,'Kampfresultat Tabelle'!N$15,'Kampfresultat Tabelle'!N44)</f>
        <v>-2</v>
      </c>
      <c r="O43" s="6">
        <f>IF(Charakterbogen!$AB$3='Kampfresultat Tabelle'!$A$14,'Kampfresultat Tabelle'!O$15,'Kampfresultat Tabelle'!O44)</f>
        <v>-2</v>
      </c>
      <c r="P43" s="6">
        <f>IF(Charakterbogen!$AB$3='Kampfresultat Tabelle'!$A$14,'Kampfresultat Tabelle'!P$15,'Kampfresultat Tabelle'!P44)</f>
        <v>-2</v>
      </c>
      <c r="Q43" s="6">
        <f>IF(Charakterbogen!$AB$3='Kampfresultat Tabelle'!$A$14,'Kampfresultat Tabelle'!Q$15,'Kampfresultat Tabelle'!Q44)</f>
        <v>-2</v>
      </c>
      <c r="R43" s="6">
        <f>IF(Charakterbogen!$AB$3='Kampfresultat Tabelle'!$A$14,'Kampfresultat Tabelle'!R$15,'Kampfresultat Tabelle'!R44)</f>
        <v>-2</v>
      </c>
      <c r="S43" s="6">
        <f>IF(Charakterbogen!$AB$3='Kampfresultat Tabelle'!$A$14,'Kampfresultat Tabelle'!S$15,'Kampfresultat Tabelle'!S44)</f>
        <v>-2</v>
      </c>
      <c r="T43" s="6">
        <f>IF(Charakterbogen!$AB$3='Kampfresultat Tabelle'!$A$14,'Kampfresultat Tabelle'!T$15,'Kampfresultat Tabelle'!T44)</f>
        <v>-2</v>
      </c>
      <c r="U43" s="6">
        <f>IF(Charakterbogen!$AB$3='Kampfresultat Tabelle'!$A$14,'Kampfresultat Tabelle'!U$15,'Kampfresultat Tabelle'!U44)</f>
        <v>-2</v>
      </c>
      <c r="V43" s="6">
        <f>IF(Charakterbogen!$AB$3='Kampfresultat Tabelle'!$A$14,'Kampfresultat Tabelle'!V$15,'Kampfresultat Tabelle'!V44)</f>
        <v>-2</v>
      </c>
      <c r="W43" s="6">
        <f>IF(Charakterbogen!$AB$3='Kampfresultat Tabelle'!$A$14,'Kampfresultat Tabelle'!W$15,'Kampfresultat Tabelle'!W44)</f>
        <v>-2</v>
      </c>
      <c r="X43" s="6">
        <f>IF(Charakterbogen!$AB$3='Kampfresultat Tabelle'!$A$14,'Kampfresultat Tabelle'!X$15,'Kampfresultat Tabelle'!X44)</f>
        <v>-2</v>
      </c>
      <c r="Y43" s="6">
        <f>IF(Charakterbogen!$AB$3='Kampfresultat Tabelle'!$A$14,'Kampfresultat Tabelle'!Y$15,'Kampfresultat Tabelle'!Y44)</f>
        <v>-2</v>
      </c>
      <c r="Z43" s="33">
        <f>IF(Charakterbogen!$AB$3='Kampfresultat Tabelle'!$A$14,'Kampfresultat Tabelle'!Z$15,'Kampfresultat Tabelle'!Z44)</f>
        <v>-1</v>
      </c>
    </row>
    <row r="44" spans="2:26" ht="12.75">
      <c r="B44" s="34">
        <v>8</v>
      </c>
      <c r="C44" s="6">
        <f>IF(Charakterbogen!$AB$3='Kampfresultat Tabelle'!$A$16,'Kampfresultat Tabelle'!C$17,'Kampfresultat Tabelle'!C45)</f>
        <v>-7</v>
      </c>
      <c r="D44" s="6">
        <f>IF(Charakterbogen!$AB$3='Kampfresultat Tabelle'!$A$16,'Kampfresultat Tabelle'!D$17,'Kampfresultat Tabelle'!D45)</f>
        <v>-6</v>
      </c>
      <c r="E44" s="6">
        <f>IF(Charakterbogen!$AB$3='Kampfresultat Tabelle'!$A$16,'Kampfresultat Tabelle'!E$17,'Kampfresultat Tabelle'!E45)</f>
        <v>-6</v>
      </c>
      <c r="F44" s="6">
        <f>IF(Charakterbogen!$AB$3='Kampfresultat Tabelle'!$A$16,'Kampfresultat Tabelle'!F$17,'Kampfresultat Tabelle'!F45)</f>
        <v>-5</v>
      </c>
      <c r="G44" s="6">
        <f>IF(Charakterbogen!$AB$3='Kampfresultat Tabelle'!$A$16,'Kampfresultat Tabelle'!G$17,'Kampfresultat Tabelle'!G45)</f>
        <v>-5</v>
      </c>
      <c r="H44" s="6">
        <f>IF(Charakterbogen!$AB$3='Kampfresultat Tabelle'!$A$16,'Kampfresultat Tabelle'!H$17,'Kampfresultat Tabelle'!H45)</f>
        <v>-4</v>
      </c>
      <c r="I44" s="6">
        <f>IF(Charakterbogen!$AB$3='Kampfresultat Tabelle'!$A$16,'Kampfresultat Tabelle'!I$17,'Kampfresultat Tabelle'!I45)</f>
        <v>-4</v>
      </c>
      <c r="J44" s="6">
        <f>IF(Charakterbogen!$AB$3='Kampfresultat Tabelle'!$A$16,'Kampfresultat Tabelle'!J$17,'Kampfresultat Tabelle'!J45)</f>
        <v>-4</v>
      </c>
      <c r="K44" s="6">
        <f>IF(Charakterbogen!$AB$3='Kampfresultat Tabelle'!$A$16,'Kampfresultat Tabelle'!K$17,'Kampfresultat Tabelle'!K45)</f>
        <v>-4</v>
      </c>
      <c r="L44" s="6">
        <f>IF(Charakterbogen!$AB$3='Kampfresultat Tabelle'!$A$16,'Kampfresultat Tabelle'!L$17,'Kampfresultat Tabelle'!L45)</f>
        <v>-3</v>
      </c>
      <c r="M44" s="6">
        <f>IF(Charakterbogen!$AB$3='Kampfresultat Tabelle'!$A$16,'Kampfresultat Tabelle'!M$17,'Kampfresultat Tabelle'!M45)</f>
        <v>-3</v>
      </c>
      <c r="N44" s="6">
        <f>IF(Charakterbogen!$AB$3='Kampfresultat Tabelle'!$A$16,'Kampfresultat Tabelle'!N$17,'Kampfresultat Tabelle'!N45)</f>
        <v>-2</v>
      </c>
      <c r="O44" s="6">
        <f>IF(Charakterbogen!$AB$3='Kampfresultat Tabelle'!$A$16,'Kampfresultat Tabelle'!O$17,'Kampfresultat Tabelle'!O45)</f>
        <v>-2</v>
      </c>
      <c r="P44" s="6">
        <f>IF(Charakterbogen!$AB$3='Kampfresultat Tabelle'!$A$16,'Kampfresultat Tabelle'!P$17,'Kampfresultat Tabelle'!P45)</f>
        <v>-2</v>
      </c>
      <c r="Q44" s="6">
        <f>IF(Charakterbogen!$AB$3='Kampfresultat Tabelle'!$A$16,'Kampfresultat Tabelle'!Q$17,'Kampfresultat Tabelle'!Q45)</f>
        <v>-2</v>
      </c>
      <c r="R44" s="6">
        <f>IF(Charakterbogen!$AB$3='Kampfresultat Tabelle'!$A$16,'Kampfresultat Tabelle'!R$17,'Kampfresultat Tabelle'!R45)</f>
        <v>-2</v>
      </c>
      <c r="S44" s="6">
        <f>IF(Charakterbogen!$AB$3='Kampfresultat Tabelle'!$A$16,'Kampfresultat Tabelle'!S$17,'Kampfresultat Tabelle'!S45)</f>
        <v>-2</v>
      </c>
      <c r="T44" s="6">
        <f>IF(Charakterbogen!$AB$3='Kampfresultat Tabelle'!$A$16,'Kampfresultat Tabelle'!T$17,'Kampfresultat Tabelle'!T45)</f>
        <v>-2</v>
      </c>
      <c r="U44" s="6">
        <f>IF(Charakterbogen!$AB$3='Kampfresultat Tabelle'!$A$16,'Kampfresultat Tabelle'!U$17,'Kampfresultat Tabelle'!U45)</f>
        <v>-2</v>
      </c>
      <c r="V44" s="6">
        <f>IF(Charakterbogen!$AB$3='Kampfresultat Tabelle'!$A$16,'Kampfresultat Tabelle'!V$17,'Kampfresultat Tabelle'!V45)</f>
        <v>-2</v>
      </c>
      <c r="W44" s="6">
        <f>IF(Charakterbogen!$AB$3='Kampfresultat Tabelle'!$A$16,'Kampfresultat Tabelle'!W$17,'Kampfresultat Tabelle'!W45)</f>
        <v>-2</v>
      </c>
      <c r="X44" s="6">
        <f>IF(Charakterbogen!$AB$3='Kampfresultat Tabelle'!$A$16,'Kampfresultat Tabelle'!X$17,'Kampfresultat Tabelle'!X45)</f>
        <v>-2</v>
      </c>
      <c r="Y44" s="6">
        <f>IF(Charakterbogen!$AB$3='Kampfresultat Tabelle'!$A$16,'Kampfresultat Tabelle'!Y$17,'Kampfresultat Tabelle'!Y45)</f>
        <v>-2</v>
      </c>
      <c r="Z44" s="33">
        <f>IF(Charakterbogen!$AB$3='Kampfresultat Tabelle'!$A$16,'Kampfresultat Tabelle'!Z$17,'Kampfresultat Tabelle'!Z45)</f>
        <v>-1</v>
      </c>
    </row>
    <row r="45" spans="2:26" ht="12.75">
      <c r="B45" s="34">
        <v>9</v>
      </c>
      <c r="C45" s="6">
        <f>IF(Charakterbogen!$AB$3='Kampfresultat Tabelle'!$A$18,'Kampfresultat Tabelle'!C$19,'Kampfresultat Tabelle'!C46)</f>
        <v>-7</v>
      </c>
      <c r="D45" s="6">
        <f>IF(Charakterbogen!$AB$3='Kampfresultat Tabelle'!$A$18,'Kampfresultat Tabelle'!D$19,'Kampfresultat Tabelle'!D46)</f>
        <v>-6</v>
      </c>
      <c r="E45" s="6">
        <f>IF(Charakterbogen!$AB$3='Kampfresultat Tabelle'!$A$18,'Kampfresultat Tabelle'!E$19,'Kampfresultat Tabelle'!E46)</f>
        <v>-6</v>
      </c>
      <c r="F45" s="6">
        <f>IF(Charakterbogen!$AB$3='Kampfresultat Tabelle'!$A$18,'Kampfresultat Tabelle'!F$19,'Kampfresultat Tabelle'!F46)</f>
        <v>-5</v>
      </c>
      <c r="G45" s="6">
        <f>IF(Charakterbogen!$AB$3='Kampfresultat Tabelle'!$A$18,'Kampfresultat Tabelle'!G$19,'Kampfresultat Tabelle'!G46)</f>
        <v>-5</v>
      </c>
      <c r="H45" s="6">
        <f>IF(Charakterbogen!$AB$3='Kampfresultat Tabelle'!$A$18,'Kampfresultat Tabelle'!H$19,'Kampfresultat Tabelle'!H46)</f>
        <v>-4</v>
      </c>
      <c r="I45" s="6">
        <f>IF(Charakterbogen!$AB$3='Kampfresultat Tabelle'!$A$18,'Kampfresultat Tabelle'!I$19,'Kampfresultat Tabelle'!I46)</f>
        <v>-4</v>
      </c>
      <c r="J45" s="6">
        <f>IF(Charakterbogen!$AB$3='Kampfresultat Tabelle'!$A$18,'Kampfresultat Tabelle'!J$19,'Kampfresultat Tabelle'!J46)</f>
        <v>-4</v>
      </c>
      <c r="K45" s="6">
        <f>IF(Charakterbogen!$AB$3='Kampfresultat Tabelle'!$A$18,'Kampfresultat Tabelle'!K$19,'Kampfresultat Tabelle'!K46)</f>
        <v>-4</v>
      </c>
      <c r="L45" s="6">
        <f>IF(Charakterbogen!$AB$3='Kampfresultat Tabelle'!$A$18,'Kampfresultat Tabelle'!L$19,'Kampfresultat Tabelle'!L46)</f>
        <v>-3</v>
      </c>
      <c r="M45" s="6">
        <f>IF(Charakterbogen!$AB$3='Kampfresultat Tabelle'!$A$18,'Kampfresultat Tabelle'!M$19,'Kampfresultat Tabelle'!M46)</f>
        <v>-3</v>
      </c>
      <c r="N45" s="6">
        <f>IF(Charakterbogen!$AB$3='Kampfresultat Tabelle'!$A$18,'Kampfresultat Tabelle'!N$19,'Kampfresultat Tabelle'!N46)</f>
        <v>-2</v>
      </c>
      <c r="O45" s="6">
        <f>IF(Charakterbogen!$AB$3='Kampfresultat Tabelle'!$A$18,'Kampfresultat Tabelle'!O$19,'Kampfresultat Tabelle'!O46)</f>
        <v>-2</v>
      </c>
      <c r="P45" s="6">
        <f>IF(Charakterbogen!$AB$3='Kampfresultat Tabelle'!$A$18,'Kampfresultat Tabelle'!P$19,'Kampfresultat Tabelle'!P46)</f>
        <v>-2</v>
      </c>
      <c r="Q45" s="6">
        <f>IF(Charakterbogen!$AB$3='Kampfresultat Tabelle'!$A$18,'Kampfresultat Tabelle'!Q$19,'Kampfresultat Tabelle'!Q46)</f>
        <v>-2</v>
      </c>
      <c r="R45" s="6">
        <f>IF(Charakterbogen!$AB$3='Kampfresultat Tabelle'!$A$18,'Kampfresultat Tabelle'!R$19,'Kampfresultat Tabelle'!R46)</f>
        <v>-2</v>
      </c>
      <c r="S45" s="6">
        <f>IF(Charakterbogen!$AB$3='Kampfresultat Tabelle'!$A$18,'Kampfresultat Tabelle'!S$19,'Kampfresultat Tabelle'!S46)</f>
        <v>-2</v>
      </c>
      <c r="T45" s="6">
        <f>IF(Charakterbogen!$AB$3='Kampfresultat Tabelle'!$A$18,'Kampfresultat Tabelle'!T$19,'Kampfresultat Tabelle'!T46)</f>
        <v>-2</v>
      </c>
      <c r="U45" s="6">
        <f>IF(Charakterbogen!$AB$3='Kampfresultat Tabelle'!$A$18,'Kampfresultat Tabelle'!U$19,'Kampfresultat Tabelle'!U46)</f>
        <v>-2</v>
      </c>
      <c r="V45" s="6">
        <f>IF(Charakterbogen!$AB$3='Kampfresultat Tabelle'!$A$18,'Kampfresultat Tabelle'!V$19,'Kampfresultat Tabelle'!V46)</f>
        <v>-2</v>
      </c>
      <c r="W45" s="6">
        <f>IF(Charakterbogen!$AB$3='Kampfresultat Tabelle'!$A$18,'Kampfresultat Tabelle'!W$19,'Kampfresultat Tabelle'!W46)</f>
        <v>-2</v>
      </c>
      <c r="X45" s="6">
        <f>IF(Charakterbogen!$AB$3='Kampfresultat Tabelle'!$A$18,'Kampfresultat Tabelle'!X$19,'Kampfresultat Tabelle'!X46)</f>
        <v>-2</v>
      </c>
      <c r="Y45" s="6">
        <f>IF(Charakterbogen!$AB$3='Kampfresultat Tabelle'!$A$18,'Kampfresultat Tabelle'!Y$19,'Kampfresultat Tabelle'!Y46)</f>
        <v>-2</v>
      </c>
      <c r="Z45" s="33">
        <f>IF(Charakterbogen!$AB$3='Kampfresultat Tabelle'!$A$18,'Kampfresultat Tabelle'!Z$19,'Kampfresultat Tabelle'!Z46)</f>
        <v>-1</v>
      </c>
    </row>
    <row r="46" spans="2:26" ht="12.75">
      <c r="B46" s="36">
        <v>0</v>
      </c>
      <c r="C46" s="41">
        <f>IF(Charakterbogen!$AB$3='Kampfresultat Tabelle'!$A$20,'Kampfresultat Tabelle'!C$21,C37)</f>
        <v>-7</v>
      </c>
      <c r="D46" s="41">
        <f>IF(Charakterbogen!$AB$3='Kampfresultat Tabelle'!$A$20,'Kampfresultat Tabelle'!D$21,D37)</f>
        <v>-6</v>
      </c>
      <c r="E46" s="41">
        <f>IF(Charakterbogen!$AB$3='Kampfresultat Tabelle'!$A$20,'Kampfresultat Tabelle'!E$21,E37)</f>
        <v>-6</v>
      </c>
      <c r="F46" s="41">
        <f>IF(Charakterbogen!$AB$3='Kampfresultat Tabelle'!$A$20,'Kampfresultat Tabelle'!F$21,F37)</f>
        <v>-5</v>
      </c>
      <c r="G46" s="41">
        <f>IF(Charakterbogen!$AB$3='Kampfresultat Tabelle'!$A$20,'Kampfresultat Tabelle'!G$21,G37)</f>
        <v>-5</v>
      </c>
      <c r="H46" s="41">
        <f>IF(Charakterbogen!$AB$3='Kampfresultat Tabelle'!$A$20,'Kampfresultat Tabelle'!H$21,H37)</f>
        <v>-4</v>
      </c>
      <c r="I46" s="41">
        <f>IF(Charakterbogen!$AB$3='Kampfresultat Tabelle'!$A$20,'Kampfresultat Tabelle'!I$21,I37)</f>
        <v>-4</v>
      </c>
      <c r="J46" s="41">
        <f>IF(Charakterbogen!$AB$3='Kampfresultat Tabelle'!$A$20,'Kampfresultat Tabelle'!J$21,J37)</f>
        <v>-4</v>
      </c>
      <c r="K46" s="41">
        <f>IF(Charakterbogen!$AB$3='Kampfresultat Tabelle'!$A$20,'Kampfresultat Tabelle'!K$21,K37)</f>
        <v>-4</v>
      </c>
      <c r="L46" s="41">
        <f>IF(Charakterbogen!$AB$3='Kampfresultat Tabelle'!$A$20,'Kampfresultat Tabelle'!L$21,L37)</f>
        <v>-3</v>
      </c>
      <c r="M46" s="41">
        <f>IF(Charakterbogen!$AB$3='Kampfresultat Tabelle'!$A$20,'Kampfresultat Tabelle'!M$21,M37)</f>
        <v>-3</v>
      </c>
      <c r="N46" s="41">
        <f>IF(Charakterbogen!$AB$3='Kampfresultat Tabelle'!$A$20,'Kampfresultat Tabelle'!N$21,N37)</f>
        <v>-2</v>
      </c>
      <c r="O46" s="41">
        <f>IF(Charakterbogen!$AB$3='Kampfresultat Tabelle'!$A$20,'Kampfresultat Tabelle'!O$21,O37)</f>
        <v>-2</v>
      </c>
      <c r="P46" s="41">
        <f>IF(Charakterbogen!$AB$3='Kampfresultat Tabelle'!$A$20,'Kampfresultat Tabelle'!P$21,P37)</f>
        <v>-2</v>
      </c>
      <c r="Q46" s="41">
        <f>IF(Charakterbogen!$AB$3='Kampfresultat Tabelle'!$A$20,'Kampfresultat Tabelle'!Q$21,Q37)</f>
        <v>-2</v>
      </c>
      <c r="R46" s="41">
        <f>IF(Charakterbogen!$AB$3='Kampfresultat Tabelle'!$A$20,'Kampfresultat Tabelle'!R$21,R37)</f>
        <v>-2</v>
      </c>
      <c r="S46" s="41">
        <f>IF(Charakterbogen!$AB$3='Kampfresultat Tabelle'!$A$20,'Kampfresultat Tabelle'!S$21,S37)</f>
        <v>-2</v>
      </c>
      <c r="T46" s="41">
        <f>IF(Charakterbogen!$AB$3='Kampfresultat Tabelle'!$A$20,'Kampfresultat Tabelle'!T$21,T37)</f>
        <v>-2</v>
      </c>
      <c r="U46" s="41">
        <f>IF(Charakterbogen!$AB$3='Kampfresultat Tabelle'!$A$20,'Kampfresultat Tabelle'!U$21,U37)</f>
        <v>-2</v>
      </c>
      <c r="V46" s="41">
        <f>IF(Charakterbogen!$AB$3='Kampfresultat Tabelle'!$A$20,'Kampfresultat Tabelle'!V$21,V37)</f>
        <v>-2</v>
      </c>
      <c r="W46" s="41">
        <f>IF(Charakterbogen!$AB$3='Kampfresultat Tabelle'!$A$20,'Kampfresultat Tabelle'!W$21,W37)</f>
        <v>-2</v>
      </c>
      <c r="X46" s="41">
        <f>IF(Charakterbogen!$AB$3='Kampfresultat Tabelle'!$A$20,'Kampfresultat Tabelle'!X$21,X37)</f>
        <v>-2</v>
      </c>
      <c r="Y46" s="41">
        <f>IF(Charakterbogen!$AB$3='Kampfresultat Tabelle'!$A$20,'Kampfresultat Tabelle'!Y$21,Y37)</f>
        <v>-2</v>
      </c>
      <c r="Z46" s="64">
        <f>IF(Charakterbogen!$AB$3='Kampfresultat Tabelle'!$A$20,'Kampfresultat Tabelle'!Z$21,Z37)</f>
        <v>-1</v>
      </c>
    </row>
    <row r="47" spans="2:29" ht="12.75">
      <c r="B47" s="1"/>
      <c r="C47" s="1"/>
      <c r="D47" s="6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2.75">
      <c r="B48" s="67" t="s">
        <v>61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52"/>
      <c r="AA48" s="1"/>
      <c r="AB48" s="1"/>
      <c r="AC48" s="1"/>
    </row>
    <row r="49" spans="2:29" ht="12.75">
      <c r="B49" s="44"/>
      <c r="C49" s="30">
        <v>-11</v>
      </c>
      <c r="D49" s="30">
        <v>-10</v>
      </c>
      <c r="E49" s="30">
        <v>-9</v>
      </c>
      <c r="F49" s="30">
        <v>-8</v>
      </c>
      <c r="G49" s="30">
        <v>-7</v>
      </c>
      <c r="H49" s="30">
        <v>-6</v>
      </c>
      <c r="I49" s="30">
        <v>-5</v>
      </c>
      <c r="J49" s="30">
        <v>-4</v>
      </c>
      <c r="K49" s="30">
        <v>-3</v>
      </c>
      <c r="L49" s="30">
        <v>-2</v>
      </c>
      <c r="M49" s="30">
        <v>-1</v>
      </c>
      <c r="N49" s="30">
        <v>0</v>
      </c>
      <c r="O49" s="30">
        <v>0</v>
      </c>
      <c r="P49" s="30">
        <v>1</v>
      </c>
      <c r="Q49" s="30">
        <v>2</v>
      </c>
      <c r="R49" s="30">
        <v>3</v>
      </c>
      <c r="S49" s="30">
        <v>4</v>
      </c>
      <c r="T49" s="30">
        <v>5</v>
      </c>
      <c r="U49" s="30">
        <v>6</v>
      </c>
      <c r="V49" s="30">
        <v>7</v>
      </c>
      <c r="W49" s="30">
        <v>8</v>
      </c>
      <c r="X49" s="30">
        <v>9</v>
      </c>
      <c r="Y49" s="30">
        <v>10</v>
      </c>
      <c r="Z49" s="50">
        <v>11</v>
      </c>
      <c r="AA49" s="1"/>
      <c r="AB49" s="1"/>
      <c r="AC49" s="1"/>
    </row>
    <row r="50" spans="2:26" ht="12.75">
      <c r="B50" s="65" t="s">
        <v>58</v>
      </c>
      <c r="C50" s="6">
        <f>IF(Charakterbogen!$X$4&lt;'Kampfresultat Tabelle'!D$1,'Kampfresultat Tabelle'!C$26,D50)</f>
        <v>-7</v>
      </c>
      <c r="D50" s="6">
        <f>IF(Charakterbogen!$X$4='Kampfresultat Tabelle'!D$1,'Kampfresultat Tabelle'!D$26,E50)</f>
        <v>-7</v>
      </c>
      <c r="E50" s="6">
        <f>IF(Charakterbogen!$X$4='Kampfresultat Tabelle'!E$1,'Kampfresultat Tabelle'!E$26,F50)</f>
        <v>-7</v>
      </c>
      <c r="F50" s="6">
        <f>IF(Charakterbogen!$X$4='Kampfresultat Tabelle'!F$1,'Kampfresultat Tabelle'!F$26,G50)</f>
        <v>-7</v>
      </c>
      <c r="G50" s="6">
        <f>IF(Charakterbogen!$X$4='Kampfresultat Tabelle'!G$1,'Kampfresultat Tabelle'!G$26,H50)</f>
        <v>-7</v>
      </c>
      <c r="H50" s="6">
        <f>IF(Charakterbogen!$X$4='Kampfresultat Tabelle'!H$1,'Kampfresultat Tabelle'!H$26,I50)</f>
        <v>-7</v>
      </c>
      <c r="I50" s="6">
        <f>IF(Charakterbogen!$X$4='Kampfresultat Tabelle'!I$1,'Kampfresultat Tabelle'!I$26,J50)</f>
        <v>-7</v>
      </c>
      <c r="J50" s="6">
        <f>IF(Charakterbogen!$X$4='Kampfresultat Tabelle'!J$1,'Kampfresultat Tabelle'!J$26,K50)</f>
        <v>-7</v>
      </c>
      <c r="K50" s="6">
        <f>IF(Charakterbogen!$X$4='Kampfresultat Tabelle'!K$1,'Kampfresultat Tabelle'!K$26,L50)</f>
        <v>-7</v>
      </c>
      <c r="L50" s="6">
        <f>IF(Charakterbogen!$X$4='Kampfresultat Tabelle'!L$1,'Kampfresultat Tabelle'!L$26,M50)</f>
        <v>-7</v>
      </c>
      <c r="M50" s="6">
        <f>IF(Charakterbogen!$X$4='Kampfresultat Tabelle'!M$1,'Kampfresultat Tabelle'!M$26,N50)</f>
        <v>-7</v>
      </c>
      <c r="N50" s="6">
        <f>IF(Charakterbogen!$X$4='Kampfresultat Tabelle'!N$1,'Kampfresultat Tabelle'!N$26,O50)</f>
        <v>-7</v>
      </c>
      <c r="O50" s="6">
        <f>IF(Charakterbogen!$X$4='Kampfresultat Tabelle'!O$1,'Kampfresultat Tabelle'!O$26,P50)</f>
        <v>-7</v>
      </c>
      <c r="P50" s="6">
        <f>IF(Charakterbogen!$X$4='Kampfresultat Tabelle'!P$1,'Kampfresultat Tabelle'!P$26,Q50)</f>
        <v>-7</v>
      </c>
      <c r="Q50" s="6">
        <f>IF(Charakterbogen!$X$4='Kampfresultat Tabelle'!Q$1,'Kampfresultat Tabelle'!Q$26,R50)</f>
        <v>-7</v>
      </c>
      <c r="R50" s="6">
        <f>IF(Charakterbogen!$X$4='Kampfresultat Tabelle'!R$1,'Kampfresultat Tabelle'!R$26,S50)</f>
        <v>-7</v>
      </c>
      <c r="S50" s="6">
        <f>IF(Charakterbogen!$X$4='Kampfresultat Tabelle'!S$1,'Kampfresultat Tabelle'!S$26,T50)</f>
        <v>-7</v>
      </c>
      <c r="T50" s="6">
        <f>IF(Charakterbogen!$X$4='Kampfresultat Tabelle'!T$1,'Kampfresultat Tabelle'!T$26,U50)</f>
        <v>-7</v>
      </c>
      <c r="U50" s="6">
        <f>IF(Charakterbogen!$X$4='Kampfresultat Tabelle'!U$1,'Kampfresultat Tabelle'!U$26,V50)</f>
        <v>-7</v>
      </c>
      <c r="V50" s="6">
        <f>IF(Charakterbogen!$X$4='Kampfresultat Tabelle'!V$1,'Kampfresultat Tabelle'!V$26,W50)</f>
        <v>-7</v>
      </c>
      <c r="W50" s="6">
        <f>IF(Charakterbogen!$X$4='Kampfresultat Tabelle'!W$1,'Kampfresultat Tabelle'!W$26,X50)</f>
        <v>-7</v>
      </c>
      <c r="X50" s="6">
        <f>IF(Charakterbogen!$X$4='Kampfresultat Tabelle'!X$1,'Kampfresultat Tabelle'!X$26,Y50)</f>
        <v>-7</v>
      </c>
      <c r="Y50" s="6">
        <f>IF(Charakterbogen!$X$4='Kampfresultat Tabelle'!Y$1,'Kampfresultat Tabelle'!Y$26,Z50)</f>
        <v>-7</v>
      </c>
      <c r="Z50" s="33">
        <f>IF(Charakterbogen!$X$4&gt;'Kampfresultat Tabelle'!Y$1,'Kampfresultat Tabelle'!Z$26,C50)</f>
        <v>-7</v>
      </c>
    </row>
    <row r="51" spans="2:26" ht="12.75">
      <c r="B51" s="66" t="s">
        <v>25</v>
      </c>
      <c r="C51" s="41">
        <f>IF(Charakterbogen!$X$4&lt;'Kampfresultat Tabelle'!D$1,'Kampfresultat Tabelle'!C$37,D51)</f>
        <v>-2</v>
      </c>
      <c r="D51" s="41">
        <f>IF(Charakterbogen!$X$4='Kampfresultat Tabelle'!D$1,'Kampfresultat Tabelle'!D$37,E51)</f>
        <v>-2</v>
      </c>
      <c r="E51" s="41">
        <f>IF(Charakterbogen!$X$4='Kampfresultat Tabelle'!E$1,'Kampfresultat Tabelle'!E$37,F51)</f>
        <v>-2</v>
      </c>
      <c r="F51" s="41">
        <f>IF(Charakterbogen!$X$4='Kampfresultat Tabelle'!F$1,'Kampfresultat Tabelle'!F$37,G51)</f>
        <v>-2</v>
      </c>
      <c r="G51" s="41">
        <f>IF(Charakterbogen!$X$4='Kampfresultat Tabelle'!G$1,'Kampfresultat Tabelle'!G$37,H51)</f>
        <v>-2</v>
      </c>
      <c r="H51" s="41">
        <f>IF(Charakterbogen!$X$4='Kampfresultat Tabelle'!H$1,'Kampfresultat Tabelle'!H$37,I51)</f>
        <v>-2</v>
      </c>
      <c r="I51" s="41">
        <f>IF(Charakterbogen!$X$4='Kampfresultat Tabelle'!I$1,'Kampfresultat Tabelle'!I$37,J51)</f>
        <v>-2</v>
      </c>
      <c r="J51" s="41">
        <f>IF(Charakterbogen!$X$4='Kampfresultat Tabelle'!J$1,'Kampfresultat Tabelle'!J$37,K51)</f>
        <v>-2</v>
      </c>
      <c r="K51" s="41">
        <f>IF(Charakterbogen!$X$4='Kampfresultat Tabelle'!K$1,'Kampfresultat Tabelle'!K$37,L51)</f>
        <v>-2</v>
      </c>
      <c r="L51" s="41">
        <f>IF(Charakterbogen!$X$4='Kampfresultat Tabelle'!L$1,'Kampfresultat Tabelle'!L$37,M51)</f>
        <v>-2</v>
      </c>
      <c r="M51" s="41">
        <f>IF(Charakterbogen!$X$4='Kampfresultat Tabelle'!M$1,'Kampfresultat Tabelle'!M$37,N51)</f>
        <v>-2</v>
      </c>
      <c r="N51" s="41">
        <f>IF(Charakterbogen!$X$4='Kampfresultat Tabelle'!N$1,'Kampfresultat Tabelle'!N$37,O51)</f>
        <v>-2</v>
      </c>
      <c r="O51" s="41">
        <f>IF(Charakterbogen!$X$4='Kampfresultat Tabelle'!O$1,'Kampfresultat Tabelle'!O$37,P51)</f>
        <v>-2</v>
      </c>
      <c r="P51" s="41">
        <f>IF(Charakterbogen!$X$4='Kampfresultat Tabelle'!P$1,'Kampfresultat Tabelle'!P$37,Q51)</f>
        <v>-2</v>
      </c>
      <c r="Q51" s="41">
        <f>IF(Charakterbogen!$X$4='Kampfresultat Tabelle'!Q$1,'Kampfresultat Tabelle'!Q$37,R51)</f>
        <v>-2</v>
      </c>
      <c r="R51" s="41">
        <f>IF(Charakterbogen!$X$4='Kampfresultat Tabelle'!R$1,'Kampfresultat Tabelle'!R$37,S51)</f>
        <v>-2</v>
      </c>
      <c r="S51" s="41">
        <f>IF(Charakterbogen!$X$4='Kampfresultat Tabelle'!S$1,'Kampfresultat Tabelle'!S$37,T51)</f>
        <v>-2</v>
      </c>
      <c r="T51" s="41">
        <f>IF(Charakterbogen!$X$4='Kampfresultat Tabelle'!T$1,'Kampfresultat Tabelle'!T$37,U51)</f>
        <v>-2</v>
      </c>
      <c r="U51" s="41">
        <f>IF(Charakterbogen!$X$4='Kampfresultat Tabelle'!U$1,'Kampfresultat Tabelle'!U$37,V51)</f>
        <v>-2</v>
      </c>
      <c r="V51" s="41">
        <f>IF(Charakterbogen!$X$4='Kampfresultat Tabelle'!V$1,'Kampfresultat Tabelle'!V$37,W51)</f>
        <v>-2</v>
      </c>
      <c r="W51" s="41">
        <f>IF(Charakterbogen!$X$4='Kampfresultat Tabelle'!W$1,'Kampfresultat Tabelle'!W$37,X51)</f>
        <v>-2</v>
      </c>
      <c r="X51" s="41">
        <f>IF(Charakterbogen!$X$4='Kampfresultat Tabelle'!X$1,'Kampfresultat Tabelle'!X$37,Y51)</f>
        <v>-2</v>
      </c>
      <c r="Y51" s="41">
        <f>IF(Charakterbogen!$X$4='Kampfresultat Tabelle'!Y$1,'Kampfresultat Tabelle'!Y$37,Z51)</f>
        <v>-2</v>
      </c>
      <c r="Z51" s="64">
        <f>IF(Charakterbogen!$X$4&gt;'Kampfresultat Tabelle'!Y$1,'Kampfresultat Tabelle'!Z$37,C51)</f>
        <v>-2</v>
      </c>
    </row>
    <row r="56" spans="5:28" ht="12.75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GmbH &amp; Co.KG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bockpx</dc:creator>
  <cp:keywords/>
  <dc:description/>
  <cp:lastModifiedBy>User</cp:lastModifiedBy>
  <cp:lastPrinted>2011-10-04T08:26:08Z</cp:lastPrinted>
  <dcterms:created xsi:type="dcterms:W3CDTF">2011-09-29T06:23:57Z</dcterms:created>
  <dcterms:modified xsi:type="dcterms:W3CDTF">2013-12-11T11:50:44Z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